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data!$DR$810:$DR$855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D69" i="1" l="1"/>
  <c r="CC69" i="1"/>
  <c r="X73" i="1" l="1"/>
  <c r="U73" i="1"/>
  <c r="D73" i="1"/>
  <c r="V73" i="1" l="1"/>
  <c r="C359" i="1"/>
  <c r="C389" i="1"/>
  <c r="C383" i="1"/>
  <c r="CC61" i="1"/>
  <c r="CC66" i="1"/>
  <c r="U61" i="1"/>
  <c r="U66" i="1"/>
  <c r="AC61" i="1"/>
  <c r="AC66" i="1"/>
  <c r="D61" i="1"/>
  <c r="D66" i="1"/>
  <c r="C61" i="1"/>
  <c r="D214" i="1"/>
  <c r="B214" i="1"/>
  <c r="D213" i="1"/>
  <c r="B213" i="1"/>
  <c r="D215" i="1"/>
  <c r="B215" i="1"/>
  <c r="D210" i="1"/>
  <c r="B210" i="1"/>
  <c r="D209" i="1"/>
  <c r="B209" i="1"/>
  <c r="D201" i="1"/>
  <c r="B201" i="1"/>
  <c r="D200" i="1"/>
  <c r="B200" i="1"/>
  <c r="C170" i="1"/>
  <c r="C166" i="1"/>
  <c r="D64" i="1"/>
  <c r="BD64" i="1"/>
  <c r="BN69" i="1"/>
  <c r="BF69" i="1"/>
  <c r="BD68" i="1"/>
  <c r="AC73" i="1"/>
  <c r="BL69" i="1"/>
  <c r="BE69" i="1"/>
  <c r="AY69" i="1"/>
  <c r="D69" i="1"/>
  <c r="C439" i="1" s="1"/>
  <c r="CC65" i="1"/>
  <c r="AB66" i="1"/>
  <c r="BE66" i="1"/>
  <c r="BV66" i="1"/>
  <c r="Y66" i="1"/>
  <c r="X66" i="1"/>
  <c r="V66" i="1"/>
  <c r="BF64" i="1"/>
  <c r="BE64" i="1"/>
  <c r="BI64" i="1"/>
  <c r="AY64" i="1"/>
  <c r="CC63" i="1"/>
  <c r="D63" i="1"/>
  <c r="AB61" i="1"/>
  <c r="CA61" i="1"/>
  <c r="BY61" i="1"/>
  <c r="BX61" i="1"/>
  <c r="BV61" i="1"/>
  <c r="BN61" i="1"/>
  <c r="BL61" i="1"/>
  <c r="BJ61" i="1"/>
  <c r="BI61" i="1"/>
  <c r="BF61" i="1"/>
  <c r="BD61" i="1"/>
  <c r="Y61" i="1"/>
  <c r="CC47" i="1"/>
  <c r="BL47" i="1"/>
  <c r="D47" i="1"/>
  <c r="AY47" i="1"/>
  <c r="BR47" i="1"/>
  <c r="BI47" i="1"/>
  <c r="BJ47" i="1"/>
  <c r="Y47" i="1"/>
  <c r="BD47" i="1"/>
  <c r="CA47" i="1"/>
  <c r="U47" i="1"/>
  <c r="AC47" i="1"/>
  <c r="AB47" i="1"/>
  <c r="BX47" i="1"/>
  <c r="BV47" i="1"/>
  <c r="BF47" i="1"/>
  <c r="BN47" i="1"/>
  <c r="C47" i="1"/>
  <c r="BY47" i="1"/>
  <c r="O817" i="10"/>
  <c r="M817" i="10"/>
  <c r="J817" i="10"/>
  <c r="H817" i="10"/>
  <c r="G817" i="10"/>
  <c r="F817" i="10"/>
  <c r="E817" i="10"/>
  <c r="D817" i="10"/>
  <c r="U815" i="10"/>
  <c r="X813" i="10"/>
  <c r="X815" i="10"/>
  <c r="W813" i="10"/>
  <c r="W815" i="10"/>
  <c r="V813" i="10"/>
  <c r="V815" i="10"/>
  <c r="U813" i="10"/>
  <c r="A813" i="10"/>
  <c r="T812" i="10"/>
  <c r="S812" i="10"/>
  <c r="R812" i="10"/>
  <c r="Q812" i="10"/>
  <c r="P812" i="10"/>
  <c r="M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K810" i="10"/>
  <c r="H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F808" i="10"/>
  <c r="D808" i="10"/>
  <c r="C808" i="10"/>
  <c r="A808" i="10"/>
  <c r="T807" i="10"/>
  <c r="S807" i="10"/>
  <c r="R807" i="10"/>
  <c r="Q807" i="10"/>
  <c r="P807" i="10"/>
  <c r="M807" i="10"/>
  <c r="K807" i="10"/>
  <c r="H807" i="10"/>
  <c r="G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D806" i="10"/>
  <c r="C806" i="10"/>
  <c r="A806" i="10"/>
  <c r="T805" i="10"/>
  <c r="S805" i="10"/>
  <c r="R805" i="10"/>
  <c r="Q805" i="10"/>
  <c r="P805" i="10"/>
  <c r="M805" i="10"/>
  <c r="L805" i="10"/>
  <c r="K805" i="10"/>
  <c r="H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K801" i="10"/>
  <c r="I801" i="10"/>
  <c r="H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K795" i="10"/>
  <c r="I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K792" i="10"/>
  <c r="I792" i="10"/>
  <c r="H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K789" i="10"/>
  <c r="I789" i="10"/>
  <c r="H789" i="10"/>
  <c r="F789" i="10"/>
  <c r="D789" i="10"/>
  <c r="C789" i="10"/>
  <c r="A789" i="10"/>
  <c r="T788" i="10"/>
  <c r="S788" i="10"/>
  <c r="R788" i="10"/>
  <c r="Q788" i="10"/>
  <c r="P788" i="10"/>
  <c r="M788" i="10"/>
  <c r="F788" i="10"/>
  <c r="D788" i="10"/>
  <c r="C788" i="10"/>
  <c r="B788" i="10"/>
  <c r="A788" i="10"/>
  <c r="T787" i="10"/>
  <c r="S787" i="10"/>
  <c r="R787" i="10"/>
  <c r="Q787" i="10"/>
  <c r="P787" i="10"/>
  <c r="M787" i="10"/>
  <c r="H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K782" i="10"/>
  <c r="H782" i="10"/>
  <c r="F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M762" i="10"/>
  <c r="K762" i="10"/>
  <c r="I762" i="10"/>
  <c r="H762" i="10"/>
  <c r="F762" i="10"/>
  <c r="D762" i="10"/>
  <c r="C762" i="10"/>
  <c r="B762" i="10"/>
  <c r="A762" i="10"/>
  <c r="T761" i="10"/>
  <c r="S761" i="10"/>
  <c r="R761" i="10"/>
  <c r="Q761" i="10"/>
  <c r="P761" i="10"/>
  <c r="M761" i="10"/>
  <c r="L761" i="10"/>
  <c r="K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M760" i="10"/>
  <c r="H760" i="10"/>
  <c r="F760" i="10"/>
  <c r="D760" i="10"/>
  <c r="C760" i="10"/>
  <c r="B760" i="10"/>
  <c r="A760" i="10"/>
  <c r="T759" i="10"/>
  <c r="S759" i="10"/>
  <c r="R759" i="10"/>
  <c r="Q759" i="10"/>
  <c r="P759" i="10"/>
  <c r="M759" i="10"/>
  <c r="K759" i="10"/>
  <c r="H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K756" i="10"/>
  <c r="H756" i="10"/>
  <c r="D756" i="10"/>
  <c r="C756" i="10"/>
  <c r="B756" i="10"/>
  <c r="A756" i="10"/>
  <c r="T755" i="10"/>
  <c r="S755" i="10"/>
  <c r="R755" i="10"/>
  <c r="Q755" i="10"/>
  <c r="P755" i="10"/>
  <c r="M755" i="10"/>
  <c r="K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H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M747" i="10"/>
  <c r="K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M815" i="10" s="1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P815" i="10" s="1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S815" i="10" s="1"/>
  <c r="R736" i="10"/>
  <c r="Q736" i="10"/>
  <c r="P736" i="10"/>
  <c r="M736" i="10"/>
  <c r="H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M734" i="10"/>
  <c r="K734" i="10"/>
  <c r="H734" i="10"/>
  <c r="F734" i="10"/>
  <c r="C734" i="10"/>
  <c r="B734" i="10"/>
  <c r="A734" i="10"/>
  <c r="CF730" i="10"/>
  <c r="CE730" i="10"/>
  <c r="CD730" i="10"/>
  <c r="CB730" i="10"/>
  <c r="CA730" i="10"/>
  <c r="BZ730" i="10"/>
  <c r="BY730" i="10"/>
  <c r="BW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J722" i="10"/>
  <c r="I722" i="10"/>
  <c r="G722" i="10"/>
  <c r="D722" i="10"/>
  <c r="B722" i="10"/>
  <c r="A722" i="10"/>
  <c r="C615" i="10"/>
  <c r="E550" i="10"/>
  <c r="F550" i="10"/>
  <c r="E546" i="10"/>
  <c r="F546" i="10"/>
  <c r="F545" i="10"/>
  <c r="E545" i="10"/>
  <c r="H545" i="10"/>
  <c r="E544" i="10"/>
  <c r="E540" i="10"/>
  <c r="F540" i="10"/>
  <c r="H539" i="10"/>
  <c r="F539" i="10"/>
  <c r="E539" i="10"/>
  <c r="H538" i="10"/>
  <c r="E538" i="10"/>
  <c r="F538" i="10"/>
  <c r="F537" i="10"/>
  <c r="E537" i="10"/>
  <c r="H537" i="10"/>
  <c r="F536" i="10"/>
  <c r="E536" i="10"/>
  <c r="H536" i="10"/>
  <c r="E535" i="10"/>
  <c r="H534" i="10"/>
  <c r="F534" i="10"/>
  <c r="E534" i="10"/>
  <c r="H533" i="10"/>
  <c r="E533" i="10"/>
  <c r="F533" i="10"/>
  <c r="E532" i="10"/>
  <c r="F532" i="10"/>
  <c r="H531" i="10"/>
  <c r="F531" i="10"/>
  <c r="E531" i="10"/>
  <c r="H530" i="10"/>
  <c r="E530" i="10"/>
  <c r="F530" i="10"/>
  <c r="F529" i="10"/>
  <c r="E529" i="10"/>
  <c r="H529" i="10"/>
  <c r="F528" i="10"/>
  <c r="E528" i="10"/>
  <c r="H528" i="10"/>
  <c r="E527" i="10"/>
  <c r="H526" i="10"/>
  <c r="F526" i="10"/>
  <c r="E526" i="10"/>
  <c r="H525" i="10"/>
  <c r="E525" i="10"/>
  <c r="F525" i="10"/>
  <c r="E524" i="10"/>
  <c r="F523" i="10"/>
  <c r="E523" i="10"/>
  <c r="E522" i="10"/>
  <c r="F522" i="10"/>
  <c r="H520" i="10"/>
  <c r="F520" i="10"/>
  <c r="E520" i="10"/>
  <c r="H519" i="10"/>
  <c r="E519" i="10"/>
  <c r="F519" i="10"/>
  <c r="E518" i="10"/>
  <c r="F517" i="10"/>
  <c r="E517" i="10"/>
  <c r="H516" i="10"/>
  <c r="E516" i="10"/>
  <c r="F516" i="10"/>
  <c r="F515" i="10"/>
  <c r="E515" i="10"/>
  <c r="H515" i="10"/>
  <c r="F514" i="10"/>
  <c r="E514" i="10"/>
  <c r="H513" i="10"/>
  <c r="F512" i="10"/>
  <c r="F511" i="10"/>
  <c r="E511" i="10"/>
  <c r="H511" i="10"/>
  <c r="F510" i="10"/>
  <c r="E510" i="10"/>
  <c r="H510" i="10"/>
  <c r="E509" i="10"/>
  <c r="H508" i="10"/>
  <c r="F508" i="10"/>
  <c r="E508" i="10"/>
  <c r="H507" i="10"/>
  <c r="E507" i="10"/>
  <c r="F507" i="10"/>
  <c r="E506" i="10"/>
  <c r="H506" i="10"/>
  <c r="H505" i="10"/>
  <c r="F505" i="10"/>
  <c r="E505" i="10"/>
  <c r="H504" i="10"/>
  <c r="E504" i="10"/>
  <c r="F504" i="10"/>
  <c r="F503" i="10"/>
  <c r="E503" i="10"/>
  <c r="H503" i="10"/>
  <c r="F502" i="10"/>
  <c r="E502" i="10"/>
  <c r="H502" i="10"/>
  <c r="E501" i="10"/>
  <c r="H500" i="10"/>
  <c r="F500" i="10"/>
  <c r="E500" i="10"/>
  <c r="H499" i="10"/>
  <c r="E499" i="10"/>
  <c r="F499" i="10"/>
  <c r="E498" i="10"/>
  <c r="H497" i="10"/>
  <c r="F497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C464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B440" i="10" s="1"/>
  <c r="C438" i="10"/>
  <c r="B438" i="10"/>
  <c r="B437" i="10"/>
  <c r="B436" i="10"/>
  <c r="B435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85" i="10"/>
  <c r="C383" i="10"/>
  <c r="D372" i="10"/>
  <c r="D367" i="10"/>
  <c r="D361" i="10"/>
  <c r="N817" i="10" s="1"/>
  <c r="D329" i="10"/>
  <c r="D328" i="10"/>
  <c r="D330" i="10"/>
  <c r="D319" i="10"/>
  <c r="D339" i="10" s="1"/>
  <c r="C482" i="10" s="1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/>
  <c r="B217" i="10"/>
  <c r="E216" i="10"/>
  <c r="E217" i="10" s="1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/>
  <c r="E199" i="10"/>
  <c r="C472" i="10"/>
  <c r="E198" i="10"/>
  <c r="E197" i="10"/>
  <c r="C470" i="10" s="1"/>
  <c r="E196" i="10"/>
  <c r="E195" i="10"/>
  <c r="C468" i="10"/>
  <c r="D190" i="10"/>
  <c r="D437" i="10"/>
  <c r="C184" i="10"/>
  <c r="N722" i="10" s="1"/>
  <c r="C183" i="10"/>
  <c r="M722" i="10"/>
  <c r="C180" i="10"/>
  <c r="L722" i="10"/>
  <c r="C179" i="10"/>
  <c r="D181" i="10" s="1"/>
  <c r="D177" i="10"/>
  <c r="D434" i="10"/>
  <c r="C171" i="10"/>
  <c r="H722" i="10" s="1"/>
  <c r="C169" i="10"/>
  <c r="F722" i="10" s="1"/>
  <c r="C168" i="10"/>
  <c r="E722" i="10" s="1"/>
  <c r="C166" i="10"/>
  <c r="D173" i="10" s="1"/>
  <c r="D428" i="10" s="1"/>
  <c r="E154" i="10"/>
  <c r="E153" i="10"/>
  <c r="E152" i="10"/>
  <c r="E151" i="10"/>
  <c r="C421" i="10"/>
  <c r="E150" i="10"/>
  <c r="C420" i="10" s="1"/>
  <c r="E148" i="10"/>
  <c r="E147" i="10"/>
  <c r="E146" i="10"/>
  <c r="E145" i="10"/>
  <c r="C418" i="10" s="1"/>
  <c r="E144" i="10"/>
  <c r="C417" i="10"/>
  <c r="E142" i="10"/>
  <c r="E141" i="10"/>
  <c r="E140" i="10"/>
  <c r="E139" i="10"/>
  <c r="C415" i="10"/>
  <c r="E138" i="10"/>
  <c r="C414" i="10"/>
  <c r="E127" i="10"/>
  <c r="CE80" i="10"/>
  <c r="CF79" i="10"/>
  <c r="CE79" i="10"/>
  <c r="S816" i="10" s="1"/>
  <c r="CE78" i="10"/>
  <c r="R816" i="10" s="1"/>
  <c r="CE77" i="10"/>
  <c r="Q816" i="10" s="1"/>
  <c r="CE76" i="10"/>
  <c r="AV75" i="10"/>
  <c r="N779" i="10"/>
  <c r="AU75" i="10"/>
  <c r="N778" i="10"/>
  <c r="AT75" i="10"/>
  <c r="N777" i="10"/>
  <c r="AS75" i="10"/>
  <c r="N776" i="10" s="1"/>
  <c r="AR75" i="10"/>
  <c r="N775" i="10"/>
  <c r="AQ75" i="10"/>
  <c r="N774" i="10"/>
  <c r="AP75" i="10"/>
  <c r="N773" i="10"/>
  <c r="AO75" i="10"/>
  <c r="N772" i="10" s="1"/>
  <c r="AN75" i="10"/>
  <c r="N771" i="10"/>
  <c r="AM75" i="10"/>
  <c r="N770" i="10"/>
  <c r="AL75" i="10"/>
  <c r="N769" i="10"/>
  <c r="AK75" i="10"/>
  <c r="N768" i="10" s="1"/>
  <c r="AJ75" i="10"/>
  <c r="N767" i="10"/>
  <c r="AI75" i="10"/>
  <c r="N766" i="10"/>
  <c r="AH75" i="10"/>
  <c r="N765" i="10"/>
  <c r="AG75" i="10"/>
  <c r="N764" i="10" s="1"/>
  <c r="AF75" i="10"/>
  <c r="N763" i="10"/>
  <c r="N760" i="10"/>
  <c r="AA75" i="10"/>
  <c r="N758" i="10"/>
  <c r="Z75" i="10"/>
  <c r="N757" i="10" s="1"/>
  <c r="W75" i="10"/>
  <c r="N754" i="10"/>
  <c r="V75" i="10"/>
  <c r="N753" i="10" s="1"/>
  <c r="T75" i="10"/>
  <c r="N751" i="10"/>
  <c r="R75" i="10"/>
  <c r="N749" i="10" s="1"/>
  <c r="Q75" i="10"/>
  <c r="N748" i="10" s="1"/>
  <c r="O75" i="10"/>
  <c r="N746" i="10"/>
  <c r="N75" i="10"/>
  <c r="N745" i="10"/>
  <c r="M75" i="10"/>
  <c r="N744" i="10"/>
  <c r="L75" i="10"/>
  <c r="N743" i="10" s="1"/>
  <c r="K75" i="10"/>
  <c r="N742" i="10"/>
  <c r="J75" i="10"/>
  <c r="N741" i="10"/>
  <c r="I75" i="10"/>
  <c r="N740" i="10"/>
  <c r="H75" i="10"/>
  <c r="N739" i="10" s="1"/>
  <c r="G75" i="10"/>
  <c r="N738" i="10"/>
  <c r="F75" i="10"/>
  <c r="N737" i="10"/>
  <c r="E75" i="10"/>
  <c r="N736" i="10"/>
  <c r="D75" i="10"/>
  <c r="CE74" i="10"/>
  <c r="AE73" i="10"/>
  <c r="AD73" i="10"/>
  <c r="O761" i="10"/>
  <c r="AC73" i="10"/>
  <c r="AC75" i="10" s="1"/>
  <c r="O760" i="10"/>
  <c r="AB73" i="10"/>
  <c r="Y73" i="10"/>
  <c r="Y75" i="10" s="1"/>
  <c r="N756" i="10" s="1"/>
  <c r="O756" i="10"/>
  <c r="X73" i="10"/>
  <c r="X75" i="10" s="1"/>
  <c r="N755" i="10" s="1"/>
  <c r="O755" i="10"/>
  <c r="U73" i="10"/>
  <c r="U75" i="10" s="1"/>
  <c r="N752" i="10" s="1"/>
  <c r="O752" i="10"/>
  <c r="S73" i="10"/>
  <c r="P73" i="10"/>
  <c r="O747" i="10"/>
  <c r="E73" i="10"/>
  <c r="O736" i="10"/>
  <c r="C73" i="10"/>
  <c r="C75" i="10" s="1"/>
  <c r="CD71" i="10"/>
  <c r="C575" i="10" s="1"/>
  <c r="CE70" i="10"/>
  <c r="CC69" i="10"/>
  <c r="L812" i="10" s="1"/>
  <c r="CA69" i="10"/>
  <c r="CE69" i="10" s="1"/>
  <c r="L810" i="10"/>
  <c r="BY69" i="10"/>
  <c r="L808" i="10" s="1"/>
  <c r="BX69" i="10"/>
  <c r="L807" i="10" s="1"/>
  <c r="BR69" i="10"/>
  <c r="L801" i="10" s="1"/>
  <c r="BN69" i="10"/>
  <c r="L797" i="10"/>
  <c r="BL69" i="10"/>
  <c r="L795" i="10"/>
  <c r="BJ69" i="10"/>
  <c r="L793" i="10" s="1"/>
  <c r="BI69" i="10"/>
  <c r="L792" i="10" s="1"/>
  <c r="BF69" i="10"/>
  <c r="L789" i="10"/>
  <c r="BE69" i="10"/>
  <c r="L788" i="10"/>
  <c r="BD69" i="10"/>
  <c r="L787" i="10" s="1"/>
  <c r="BA69" i="10"/>
  <c r="L784" i="10" s="1"/>
  <c r="AY69" i="10"/>
  <c r="L782" i="10" s="1"/>
  <c r="AE69" i="10"/>
  <c r="L762" i="10"/>
  <c r="AC69" i="10"/>
  <c r="L760" i="10" s="1"/>
  <c r="AB69" i="10"/>
  <c r="L759" i="10" s="1"/>
  <c r="Y69" i="10"/>
  <c r="L756" i="10" s="1"/>
  <c r="X69" i="10"/>
  <c r="L755" i="10" s="1"/>
  <c r="U69" i="10"/>
  <c r="L752" i="10" s="1"/>
  <c r="P69" i="10"/>
  <c r="L747" i="10" s="1"/>
  <c r="E69" i="10"/>
  <c r="L736" i="10"/>
  <c r="C69" i="10"/>
  <c r="CC68" i="10"/>
  <c r="K812" i="10" s="1"/>
  <c r="BN68" i="10"/>
  <c r="K797" i="10" s="1"/>
  <c r="BE68" i="10"/>
  <c r="K788" i="10"/>
  <c r="BD68" i="10"/>
  <c r="K787" i="10"/>
  <c r="AC68" i="10"/>
  <c r="K760" i="10" s="1"/>
  <c r="E68" i="10"/>
  <c r="K736" i="10" s="1"/>
  <c r="CC66" i="10"/>
  <c r="I812" i="10" s="1"/>
  <c r="CA66" i="10"/>
  <c r="I810" i="10" s="1"/>
  <c r="BX66" i="10"/>
  <c r="I807" i="10"/>
  <c r="BV66" i="10"/>
  <c r="I805" i="10" s="1"/>
  <c r="BN66" i="10"/>
  <c r="I797" i="10" s="1"/>
  <c r="BE66" i="10"/>
  <c r="I788" i="10" s="1"/>
  <c r="BD66" i="10"/>
  <c r="I787" i="10"/>
  <c r="AY66" i="10"/>
  <c r="I782" i="10" s="1"/>
  <c r="AD66" i="10"/>
  <c r="I761" i="10" s="1"/>
  <c r="AC66" i="10"/>
  <c r="I760" i="10" s="1"/>
  <c r="AB66" i="10"/>
  <c r="I759" i="10"/>
  <c r="Y66" i="10"/>
  <c r="I756" i="10"/>
  <c r="X66" i="10"/>
  <c r="I755" i="10" s="1"/>
  <c r="U66" i="10"/>
  <c r="I752" i="10" s="1"/>
  <c r="P66" i="10"/>
  <c r="I747" i="10" s="1"/>
  <c r="E66" i="10"/>
  <c r="I736" i="10"/>
  <c r="C66" i="10"/>
  <c r="I734" i="10" s="1"/>
  <c r="CC65" i="10"/>
  <c r="H812" i="10"/>
  <c r="BN65" i="10"/>
  <c r="H797" i="10" s="1"/>
  <c r="BL65" i="10"/>
  <c r="BE65" i="10"/>
  <c r="H788" i="10"/>
  <c r="CC64" i="10"/>
  <c r="G812" i="10"/>
  <c r="CA64" i="10"/>
  <c r="G810" i="10"/>
  <c r="BY64" i="10"/>
  <c r="G808" i="10" s="1"/>
  <c r="BV64" i="10"/>
  <c r="G805" i="10" s="1"/>
  <c r="BR64" i="10"/>
  <c r="G801" i="10"/>
  <c r="BN64" i="10"/>
  <c r="G797" i="10"/>
  <c r="BL64" i="10"/>
  <c r="G795" i="10" s="1"/>
  <c r="BI64" i="10"/>
  <c r="G792" i="10" s="1"/>
  <c r="BF64" i="10"/>
  <c r="G789" i="10" s="1"/>
  <c r="BE64" i="10"/>
  <c r="G788" i="10"/>
  <c r="BD64" i="10"/>
  <c r="G787" i="10" s="1"/>
  <c r="AY64" i="10"/>
  <c r="G782" i="10" s="1"/>
  <c r="AE64" i="10"/>
  <c r="G762" i="10"/>
  <c r="AC64" i="10"/>
  <c r="G760" i="10" s="1"/>
  <c r="AB64" i="10"/>
  <c r="G759" i="10" s="1"/>
  <c r="Y64" i="10"/>
  <c r="G756" i="10" s="1"/>
  <c r="U64" i="10"/>
  <c r="G752" i="10"/>
  <c r="E64" i="10"/>
  <c r="G736" i="10"/>
  <c r="C64" i="10"/>
  <c r="G734" i="10" s="1"/>
  <c r="CC63" i="10"/>
  <c r="F812" i="10" s="1"/>
  <c r="BX63" i="10"/>
  <c r="F807" i="10"/>
  <c r="BW63" i="10"/>
  <c r="F806" i="10"/>
  <c r="BN63" i="10"/>
  <c r="F797" i="10" s="1"/>
  <c r="Y63" i="10"/>
  <c r="F756" i="10" s="1"/>
  <c r="U63" i="10"/>
  <c r="F752" i="10" s="1"/>
  <c r="E63" i="10"/>
  <c r="F736" i="10"/>
  <c r="CC61" i="10"/>
  <c r="D812" i="10" s="1"/>
  <c r="BX61" i="10"/>
  <c r="D807" i="10" s="1"/>
  <c r="AY61" i="10"/>
  <c r="D782" i="10" s="1"/>
  <c r="E61" i="10"/>
  <c r="D736" i="10" s="1"/>
  <c r="C61" i="10"/>
  <c r="D734" i="10" s="1"/>
  <c r="E60" i="10"/>
  <c r="C736" i="10" s="1"/>
  <c r="B53" i="10"/>
  <c r="CE51" i="10"/>
  <c r="B49" i="10"/>
  <c r="CE47" i="10"/>
  <c r="AD75" i="10"/>
  <c r="N761" i="10"/>
  <c r="D464" i="10"/>
  <c r="I612" i="10"/>
  <c r="F518" i="10"/>
  <c r="F524" i="10"/>
  <c r="K722" i="10"/>
  <c r="H535" i="10"/>
  <c r="F535" i="10"/>
  <c r="O762" i="10"/>
  <c r="AE75" i="10"/>
  <c r="N762" i="10" s="1"/>
  <c r="P75" i="10"/>
  <c r="N747" i="10"/>
  <c r="T816" i="10"/>
  <c r="L612" i="10"/>
  <c r="BX730" i="10"/>
  <c r="K817" i="10"/>
  <c r="B434" i="10"/>
  <c r="F496" i="10"/>
  <c r="F509" i="10"/>
  <c r="C478" i="10"/>
  <c r="H501" i="10"/>
  <c r="F501" i="10"/>
  <c r="F544" i="10"/>
  <c r="CE60" i="10"/>
  <c r="CE68" i="10"/>
  <c r="K816" i="10" s="1"/>
  <c r="G612" i="10"/>
  <c r="D186" i="10"/>
  <c r="D436" i="10" s="1"/>
  <c r="F506" i="10"/>
  <c r="F521" i="10"/>
  <c r="H527" i="10"/>
  <c r="F527" i="10"/>
  <c r="CE66" i="10"/>
  <c r="L734" i="10"/>
  <c r="M816" i="10"/>
  <c r="C458" i="10"/>
  <c r="CF77" i="10"/>
  <c r="C469" i="10"/>
  <c r="F498" i="10"/>
  <c r="H532" i="10"/>
  <c r="H540" i="10"/>
  <c r="BV730" i="10"/>
  <c r="I817" i="10"/>
  <c r="J612" i="10"/>
  <c r="CD722" i="10"/>
  <c r="L817" i="10"/>
  <c r="CC730" i="10"/>
  <c r="F513" i="10"/>
  <c r="D390" i="10"/>
  <c r="B441" i="10"/>
  <c r="B465" i="10"/>
  <c r="N734" i="10"/>
  <c r="C434" i="10"/>
  <c r="D435" i="10"/>
  <c r="D438" i="10"/>
  <c r="BI730" i="10"/>
  <c r="C816" i="10"/>
  <c r="H612" i="10"/>
  <c r="F493" i="1"/>
  <c r="D493" i="1"/>
  <c r="B493" i="1"/>
  <c r="B575" i="1"/>
  <c r="A493" i="1"/>
  <c r="C115" i="8"/>
  <c r="C444" i="1"/>
  <c r="D367" i="1"/>
  <c r="D221" i="1"/>
  <c r="D5" i="7" s="1"/>
  <c r="D12" i="6"/>
  <c r="I286" i="9"/>
  <c r="G159" i="9"/>
  <c r="D127" i="9"/>
  <c r="I63" i="9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302" i="9"/>
  <c r="H46" i="9"/>
  <c r="I110" i="9"/>
  <c r="F142" i="9"/>
  <c r="F144" i="9"/>
  <c r="H302" i="9"/>
  <c r="F274" i="9"/>
  <c r="G274" i="9"/>
  <c r="G82" i="9"/>
  <c r="H82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D331" i="9"/>
  <c r="D46" i="9"/>
  <c r="H110" i="9"/>
  <c r="G110" i="9"/>
  <c r="D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3" i="1"/>
  <c r="I365" i="9" s="1"/>
  <c r="CE68" i="1"/>
  <c r="I370" i="9"/>
  <c r="D75" i="1"/>
  <c r="AR75" i="1"/>
  <c r="I186" i="9" s="1"/>
  <c r="AS75" i="1"/>
  <c r="AT75" i="1"/>
  <c r="D218" i="9"/>
  <c r="AU75" i="1"/>
  <c r="E218" i="9" s="1"/>
  <c r="AQ75" i="1"/>
  <c r="AO75" i="1"/>
  <c r="AN75" i="1"/>
  <c r="E186" i="9" s="1"/>
  <c r="AM75" i="1"/>
  <c r="AI75" i="1"/>
  <c r="AH75" i="1"/>
  <c r="F154" i="9" s="1"/>
  <c r="AF75" i="1"/>
  <c r="D154" i="9"/>
  <c r="AD75" i="1"/>
  <c r="I122" i="9" s="1"/>
  <c r="AA75" i="1"/>
  <c r="F122" i="9"/>
  <c r="Z75" i="1"/>
  <c r="E122" i="9" s="1"/>
  <c r="X75" i="1"/>
  <c r="C122" i="9" s="1"/>
  <c r="W75" i="1"/>
  <c r="V75" i="1"/>
  <c r="H90" i="9"/>
  <c r="T75" i="1"/>
  <c r="F90" i="9" s="1"/>
  <c r="R75" i="1"/>
  <c r="Q75" i="1"/>
  <c r="C90" i="9" s="1"/>
  <c r="P75" i="1"/>
  <c r="I58" i="9" s="1"/>
  <c r="O75" i="1"/>
  <c r="H58" i="9" s="1"/>
  <c r="N75" i="1"/>
  <c r="G58" i="9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/>
  <c r="AE75" i="1"/>
  <c r="C154" i="9" s="1"/>
  <c r="AC75" i="1"/>
  <c r="AB75" i="1"/>
  <c r="Y75" i="1"/>
  <c r="D122" i="9" s="1"/>
  <c r="U75" i="1"/>
  <c r="G90" i="9" s="1"/>
  <c r="S75" i="1"/>
  <c r="E90" i="9"/>
  <c r="K75" i="1"/>
  <c r="J75" i="1"/>
  <c r="E75" i="1"/>
  <c r="E26" i="9" s="1"/>
  <c r="CE73" i="1"/>
  <c r="CE74" i="1"/>
  <c r="C75" i="1"/>
  <c r="C26" i="9" s="1"/>
  <c r="CE80" i="1"/>
  <c r="I384" i="9" s="1"/>
  <c r="CE78" i="1"/>
  <c r="I382" i="9" s="1"/>
  <c r="D361" i="1"/>
  <c r="D372" i="1"/>
  <c r="C125" i="8"/>
  <c r="D260" i="1"/>
  <c r="D265" i="1"/>
  <c r="C22" i="8" s="1"/>
  <c r="D275" i="1"/>
  <c r="D277" i="1" s="1"/>
  <c r="C35" i="8" s="1"/>
  <c r="D290" i="1"/>
  <c r="D314" i="1"/>
  <c r="D319" i="1"/>
  <c r="D328" i="1"/>
  <c r="D329" i="1"/>
  <c r="C85" i="8" s="1"/>
  <c r="D229" i="1"/>
  <c r="D236" i="1"/>
  <c r="D22" i="7" s="1"/>
  <c r="D240" i="1"/>
  <c r="E210" i="1"/>
  <c r="F25" i="6" s="1"/>
  <c r="E211" i="1"/>
  <c r="F26" i="6" s="1"/>
  <c r="E212" i="1"/>
  <c r="E215" i="1"/>
  <c r="E216" i="1"/>
  <c r="C217" i="1"/>
  <c r="D433" i="1" s="1"/>
  <c r="E196" i="1"/>
  <c r="C469" i="1" s="1"/>
  <c r="E197" i="1"/>
  <c r="E198" i="1"/>
  <c r="F10" i="6" s="1"/>
  <c r="E199" i="1"/>
  <c r="E200" i="1"/>
  <c r="E202" i="1"/>
  <c r="C474" i="1" s="1"/>
  <c r="E203" i="1"/>
  <c r="B204" i="1"/>
  <c r="C16" i="6" s="1"/>
  <c r="D190" i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4" i="1"/>
  <c r="B438" i="1"/>
  <c r="B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7" i="6"/>
  <c r="C26" i="6"/>
  <c r="C25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D436" i="1"/>
  <c r="C34" i="5"/>
  <c r="F12" i="6"/>
  <c r="I377" i="9"/>
  <c r="C464" i="1"/>
  <c r="G122" i="9"/>
  <c r="I26" i="9"/>
  <c r="C218" i="9"/>
  <c r="D366" i="9"/>
  <c r="D368" i="9"/>
  <c r="C276" i="9"/>
  <c r="CE70" i="1"/>
  <c r="C458" i="1" s="1"/>
  <c r="CE76" i="1"/>
  <c r="D612" i="1" s="1"/>
  <c r="CE77" i="1"/>
  <c r="G612" i="1" s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F7" i="6" s="1"/>
  <c r="C28" i="6"/>
  <c r="C140" i="8"/>
  <c r="D390" i="1"/>
  <c r="C141" i="8"/>
  <c r="D283" i="1"/>
  <c r="C42" i="8" s="1"/>
  <c r="C40" i="8"/>
  <c r="E515" i="1"/>
  <c r="H73" i="9"/>
  <c r="E105" i="9"/>
  <c r="E519" i="1"/>
  <c r="E528" i="1"/>
  <c r="G137" i="9"/>
  <c r="C9" i="5"/>
  <c r="D173" i="1"/>
  <c r="F28" i="4"/>
  <c r="CD71" i="1"/>
  <c r="E373" i="9" s="1"/>
  <c r="C615" i="1"/>
  <c r="I612" i="1"/>
  <c r="E372" i="9"/>
  <c r="J612" i="1"/>
  <c r="C14" i="5"/>
  <c r="D428" i="1"/>
  <c r="I380" i="9"/>
  <c r="I372" i="9"/>
  <c r="I90" i="9"/>
  <c r="C33" i="8"/>
  <c r="D186" i="9"/>
  <c r="B441" i="1"/>
  <c r="B465" i="1"/>
  <c r="B476" i="1"/>
  <c r="I362" i="9"/>
  <c r="B446" i="1"/>
  <c r="C418" i="1"/>
  <c r="F14" i="6"/>
  <c r="C471" i="1"/>
  <c r="C468" i="1"/>
  <c r="I383" i="9"/>
  <c r="C420" i="1"/>
  <c r="B28" i="4"/>
  <c r="F186" i="9"/>
  <c r="I376" i="9"/>
  <c r="C463" i="1"/>
  <c r="D58" i="9"/>
  <c r="L612" i="1"/>
  <c r="F218" i="9"/>
  <c r="D90" i="9"/>
  <c r="D464" i="1"/>
  <c r="H154" i="9"/>
  <c r="D434" i="1"/>
  <c r="C58" i="9"/>
  <c r="D242" i="1" l="1"/>
  <c r="B448" i="1" s="1"/>
  <c r="B444" i="1"/>
  <c r="C421" i="1"/>
  <c r="F8" i="6"/>
  <c r="G10" i="4"/>
  <c r="C429" i="1"/>
  <c r="B10" i="4"/>
  <c r="H186" i="9"/>
  <c r="D107" i="9"/>
  <c r="D367" i="9"/>
  <c r="CE65" i="1"/>
  <c r="CE66" i="1"/>
  <c r="G80" i="9"/>
  <c r="I815" i="10"/>
  <c r="G331" i="9"/>
  <c r="I238" i="9"/>
  <c r="E214" i="1"/>
  <c r="F29" i="6" s="1"/>
  <c r="C29" i="6"/>
  <c r="H122" i="9"/>
  <c r="C448" i="1"/>
  <c r="D368" i="1"/>
  <c r="CE47" i="1"/>
  <c r="F331" i="9"/>
  <c r="H238" i="9"/>
  <c r="D217" i="1"/>
  <c r="E32" i="6" s="1"/>
  <c r="E213" i="1"/>
  <c r="F28" i="6" s="1"/>
  <c r="E28" i="6"/>
  <c r="G154" i="9"/>
  <c r="T815" i="10"/>
  <c r="G235" i="9"/>
  <c r="D19" i="9"/>
  <c r="CE69" i="1"/>
  <c r="CE61" i="1"/>
  <c r="G75" i="9"/>
  <c r="D27" i="7"/>
  <c r="C10" i="4"/>
  <c r="C415" i="1"/>
  <c r="F11" i="6"/>
  <c r="C472" i="1"/>
  <c r="D339" i="1"/>
  <c r="C74" i="8"/>
  <c r="C307" i="9"/>
  <c r="G238" i="9"/>
  <c r="CE64" i="1"/>
  <c r="E201" i="1"/>
  <c r="D204" i="1"/>
  <c r="E16" i="6" s="1"/>
  <c r="E13" i="6"/>
  <c r="D292" i="1"/>
  <c r="C16" i="8"/>
  <c r="B217" i="1"/>
  <c r="C32" i="6" s="1"/>
  <c r="C24" i="6"/>
  <c r="E209" i="1"/>
  <c r="D26" i="9"/>
  <c r="CE75" i="1"/>
  <c r="B440" i="1"/>
  <c r="D437" i="1"/>
  <c r="C40" i="5"/>
  <c r="D438" i="1"/>
  <c r="E28" i="4"/>
  <c r="D463" i="1"/>
  <c r="D465" i="1" s="1"/>
  <c r="I381" i="9"/>
  <c r="CF77" i="1"/>
  <c r="G28" i="4"/>
  <c r="G26" i="9"/>
  <c r="E204" i="1"/>
  <c r="CF76" i="1"/>
  <c r="X52" i="1" s="1"/>
  <c r="X67" i="1" s="1"/>
  <c r="N815" i="10"/>
  <c r="N735" i="10"/>
  <c r="C448" i="10"/>
  <c r="D368" i="10"/>
  <c r="D373" i="10" s="1"/>
  <c r="D391" i="10" s="1"/>
  <c r="D393" i="10" s="1"/>
  <c r="D396" i="10" s="1"/>
  <c r="C440" i="10"/>
  <c r="L816" i="10"/>
  <c r="C432" i="10"/>
  <c r="I816" i="10"/>
  <c r="G815" i="10"/>
  <c r="O759" i="10"/>
  <c r="AB75" i="10"/>
  <c r="N759" i="10" s="1"/>
  <c r="CE61" i="10"/>
  <c r="K815" i="10"/>
  <c r="C439" i="10"/>
  <c r="L815" i="10"/>
  <c r="P816" i="10"/>
  <c r="AV52" i="10"/>
  <c r="AV67" i="10" s="1"/>
  <c r="J779" i="10" s="1"/>
  <c r="AP52" i="10"/>
  <c r="AP67" i="10" s="1"/>
  <c r="J773" i="10" s="1"/>
  <c r="BM52" i="10"/>
  <c r="BM67" i="10" s="1"/>
  <c r="J796" i="10" s="1"/>
  <c r="AY52" i="10"/>
  <c r="AY67" i="10" s="1"/>
  <c r="J782" i="10" s="1"/>
  <c r="BP52" i="10"/>
  <c r="BP67" i="10" s="1"/>
  <c r="J799" i="10" s="1"/>
  <c r="BJ52" i="10"/>
  <c r="BJ67" i="10" s="1"/>
  <c r="J793" i="10" s="1"/>
  <c r="AA52" i="10"/>
  <c r="AA67" i="10" s="1"/>
  <c r="J758" i="10" s="1"/>
  <c r="U52" i="10"/>
  <c r="U67" i="10" s="1"/>
  <c r="J752" i="10" s="1"/>
  <c r="D612" i="10"/>
  <c r="BO52" i="10"/>
  <c r="BO67" i="10" s="1"/>
  <c r="J798" i="10" s="1"/>
  <c r="BI52" i="10"/>
  <c r="BI67" i="10" s="1"/>
  <c r="J792" i="10" s="1"/>
  <c r="BT52" i="10"/>
  <c r="BT67" i="10" s="1"/>
  <c r="J803" i="10" s="1"/>
  <c r="BN52" i="10"/>
  <c r="BN67" i="10" s="1"/>
  <c r="J797" i="10" s="1"/>
  <c r="Z52" i="10"/>
  <c r="Z67" i="10" s="1"/>
  <c r="J757" i="10" s="1"/>
  <c r="Q52" i="10"/>
  <c r="Q67" i="10" s="1"/>
  <c r="J748" i="10" s="1"/>
  <c r="AN52" i="10"/>
  <c r="AN67" i="10" s="1"/>
  <c r="J771" i="10" s="1"/>
  <c r="AE52" i="10"/>
  <c r="AE67" i="10" s="1"/>
  <c r="J762" i="10" s="1"/>
  <c r="CF76" i="10"/>
  <c r="BV52" i="10" s="1"/>
  <c r="BV67" i="10" s="1"/>
  <c r="J805" i="10" s="1"/>
  <c r="C815" i="10"/>
  <c r="O750" i="10"/>
  <c r="S75" i="10"/>
  <c r="N750" i="10" s="1"/>
  <c r="H815" i="10"/>
  <c r="F815" i="10"/>
  <c r="Q815" i="10"/>
  <c r="CE73" i="10"/>
  <c r="D815" i="10"/>
  <c r="CE63" i="10"/>
  <c r="O734" i="10"/>
  <c r="O815" i="10" s="1"/>
  <c r="R815" i="10"/>
  <c r="H795" i="10"/>
  <c r="CE65" i="10"/>
  <c r="D277" i="10"/>
  <c r="D292" i="10" s="1"/>
  <c r="D341" i="10" s="1"/>
  <c r="C481" i="10" s="1"/>
  <c r="B476" i="10"/>
  <c r="E204" i="10"/>
  <c r="C476" i="10" s="1"/>
  <c r="C471" i="10"/>
  <c r="CE64" i="10"/>
  <c r="D463" i="10"/>
  <c r="D465" i="10" s="1"/>
  <c r="C722" i="10"/>
  <c r="C575" i="1"/>
  <c r="D242" i="10"/>
  <c r="B448" i="10" s="1"/>
  <c r="C113" i="9" l="1"/>
  <c r="AS52" i="1"/>
  <c r="AS67" i="1" s="1"/>
  <c r="I366" i="9"/>
  <c r="F612" i="1"/>
  <c r="C430" i="1"/>
  <c r="BZ52" i="1"/>
  <c r="BZ67" i="1" s="1"/>
  <c r="AW52" i="10"/>
  <c r="AW67" i="10" s="1"/>
  <c r="J780" i="10" s="1"/>
  <c r="AJ52" i="10"/>
  <c r="AJ67" i="10" s="1"/>
  <c r="J767" i="10" s="1"/>
  <c r="BZ52" i="10"/>
  <c r="BZ67" i="10" s="1"/>
  <c r="J809" i="10" s="1"/>
  <c r="AQ52" i="10"/>
  <c r="AQ67" i="10" s="1"/>
  <c r="J774" i="10" s="1"/>
  <c r="AO52" i="10"/>
  <c r="AO67" i="10" s="1"/>
  <c r="J772" i="10" s="1"/>
  <c r="G52" i="10"/>
  <c r="G67" i="10" s="1"/>
  <c r="J738" i="10" s="1"/>
  <c r="BS52" i="10"/>
  <c r="BS67" i="10" s="1"/>
  <c r="J802" i="10" s="1"/>
  <c r="BB52" i="10"/>
  <c r="BB67" i="10" s="1"/>
  <c r="J785" i="10" s="1"/>
  <c r="AP52" i="1"/>
  <c r="AP67" i="1" s="1"/>
  <c r="I52" i="1"/>
  <c r="I67" i="1" s="1"/>
  <c r="H52" i="1"/>
  <c r="H67" i="1" s="1"/>
  <c r="BP52" i="1"/>
  <c r="BP67" i="1" s="1"/>
  <c r="BP48" i="1"/>
  <c r="BP62" i="1" s="1"/>
  <c r="J48" i="1"/>
  <c r="J62" i="1" s="1"/>
  <c r="P48" i="1"/>
  <c r="P62" i="1" s="1"/>
  <c r="S48" i="1"/>
  <c r="S62" i="1" s="1"/>
  <c r="AI48" i="1"/>
  <c r="AI62" i="1" s="1"/>
  <c r="AH48" i="1"/>
  <c r="AH62" i="1" s="1"/>
  <c r="Y48" i="1"/>
  <c r="Y62" i="1" s="1"/>
  <c r="O48" i="1"/>
  <c r="O62" i="1" s="1"/>
  <c r="L48" i="1"/>
  <c r="L62" i="1" s="1"/>
  <c r="AD48" i="1"/>
  <c r="AD62" i="1" s="1"/>
  <c r="BB48" i="1"/>
  <c r="BB62" i="1" s="1"/>
  <c r="AU48" i="1"/>
  <c r="AU62" i="1" s="1"/>
  <c r="I363" i="9"/>
  <c r="CB48" i="1"/>
  <c r="CB62" i="1" s="1"/>
  <c r="R48" i="1"/>
  <c r="R62" i="1" s="1"/>
  <c r="AW48" i="1"/>
  <c r="AW62" i="1" s="1"/>
  <c r="AM48" i="1"/>
  <c r="AM62" i="1" s="1"/>
  <c r="W48" i="1"/>
  <c r="W62" i="1" s="1"/>
  <c r="AY48" i="1"/>
  <c r="AY62" i="1" s="1"/>
  <c r="AJ48" i="1"/>
  <c r="AJ62" i="1" s="1"/>
  <c r="AZ48" i="1"/>
  <c r="AZ62" i="1" s="1"/>
  <c r="Z48" i="1"/>
  <c r="Z62" i="1" s="1"/>
  <c r="AR48" i="1"/>
  <c r="AR62" i="1" s="1"/>
  <c r="AV48" i="1"/>
  <c r="AV62" i="1" s="1"/>
  <c r="BT48" i="1"/>
  <c r="BT62" i="1" s="1"/>
  <c r="H48" i="1"/>
  <c r="H62" i="1" s="1"/>
  <c r="BN48" i="1"/>
  <c r="BN62" i="1" s="1"/>
  <c r="AQ48" i="1"/>
  <c r="AQ62" i="1" s="1"/>
  <c r="BE48" i="1"/>
  <c r="BE62" i="1" s="1"/>
  <c r="AL48" i="1"/>
  <c r="AL62" i="1" s="1"/>
  <c r="BJ48" i="1"/>
  <c r="BJ62" i="1" s="1"/>
  <c r="C48" i="1"/>
  <c r="I48" i="1"/>
  <c r="I62" i="1" s="1"/>
  <c r="BA48" i="1"/>
  <c r="BA62" i="1" s="1"/>
  <c r="AE48" i="1"/>
  <c r="AE62" i="1" s="1"/>
  <c r="T48" i="1"/>
  <c r="T62" i="1" s="1"/>
  <c r="BK48" i="1"/>
  <c r="BK62" i="1" s="1"/>
  <c r="BM48" i="1"/>
  <c r="BM62" i="1" s="1"/>
  <c r="AF48" i="1"/>
  <c r="AF62" i="1" s="1"/>
  <c r="BO48" i="1"/>
  <c r="BO62" i="1" s="1"/>
  <c r="F48" i="1"/>
  <c r="F62" i="1" s="1"/>
  <c r="AP48" i="1"/>
  <c r="AP62" i="1" s="1"/>
  <c r="BS48" i="1"/>
  <c r="BS62" i="1" s="1"/>
  <c r="AB48" i="1"/>
  <c r="AB62" i="1" s="1"/>
  <c r="BQ48" i="1"/>
  <c r="BQ62" i="1" s="1"/>
  <c r="BZ48" i="1"/>
  <c r="BZ62" i="1" s="1"/>
  <c r="AK48" i="1"/>
  <c r="AK62" i="1" s="1"/>
  <c r="BX48" i="1"/>
  <c r="BX62" i="1" s="1"/>
  <c r="BF48" i="1"/>
  <c r="BF62" i="1" s="1"/>
  <c r="BG48" i="1"/>
  <c r="BG62" i="1" s="1"/>
  <c r="BI48" i="1"/>
  <c r="BI62" i="1" s="1"/>
  <c r="AG48" i="1"/>
  <c r="AG62" i="1" s="1"/>
  <c r="CC48" i="1"/>
  <c r="CC62" i="1" s="1"/>
  <c r="M48" i="1"/>
  <c r="M62" i="1" s="1"/>
  <c r="U48" i="1"/>
  <c r="U62" i="1" s="1"/>
  <c r="BR48" i="1"/>
  <c r="BR62" i="1" s="1"/>
  <c r="AC48" i="1"/>
  <c r="AC62" i="1" s="1"/>
  <c r="BD48" i="1"/>
  <c r="BD62" i="1" s="1"/>
  <c r="V48" i="1"/>
  <c r="V62" i="1" s="1"/>
  <c r="BV48" i="1"/>
  <c r="BV62" i="1" s="1"/>
  <c r="AO48" i="1"/>
  <c r="AO62" i="1" s="1"/>
  <c r="CA48" i="1"/>
  <c r="CA62" i="1" s="1"/>
  <c r="X48" i="1"/>
  <c r="X62" i="1" s="1"/>
  <c r="BW48" i="1"/>
  <c r="BW62" i="1" s="1"/>
  <c r="AT48" i="1"/>
  <c r="AT62" i="1" s="1"/>
  <c r="Q48" i="1"/>
  <c r="Q62" i="1" s="1"/>
  <c r="C427" i="1"/>
  <c r="BY48" i="1"/>
  <c r="BY62" i="1" s="1"/>
  <c r="D48" i="1"/>
  <c r="D62" i="1" s="1"/>
  <c r="BL48" i="1"/>
  <c r="BL62" i="1" s="1"/>
  <c r="K48" i="1"/>
  <c r="K62" i="1" s="1"/>
  <c r="E48" i="1"/>
  <c r="E62" i="1" s="1"/>
  <c r="AA48" i="1"/>
  <c r="AA62" i="1" s="1"/>
  <c r="BH48" i="1"/>
  <c r="BH62" i="1" s="1"/>
  <c r="AN48" i="1"/>
  <c r="AN62" i="1" s="1"/>
  <c r="AX48" i="1"/>
  <c r="AX62" i="1" s="1"/>
  <c r="AS48" i="1"/>
  <c r="AS62" i="1" s="1"/>
  <c r="BC48" i="1"/>
  <c r="BC62" i="1" s="1"/>
  <c r="N48" i="1"/>
  <c r="N62" i="1" s="1"/>
  <c r="G48" i="1"/>
  <c r="G62" i="1" s="1"/>
  <c r="BU48" i="1"/>
  <c r="BU62" i="1" s="1"/>
  <c r="BN52" i="1"/>
  <c r="BN67" i="1" s="1"/>
  <c r="BV52" i="1"/>
  <c r="BV67" i="1" s="1"/>
  <c r="BE52" i="1"/>
  <c r="BE67" i="1" s="1"/>
  <c r="M52" i="1"/>
  <c r="M67" i="1" s="1"/>
  <c r="BR52" i="1"/>
  <c r="BR67" i="1" s="1"/>
  <c r="AT52" i="1"/>
  <c r="AT67" i="1" s="1"/>
  <c r="Q52" i="1"/>
  <c r="Q67" i="1" s="1"/>
  <c r="BI52" i="1"/>
  <c r="BI67" i="1" s="1"/>
  <c r="AG52" i="1"/>
  <c r="AG67" i="1" s="1"/>
  <c r="D52" i="1"/>
  <c r="D67" i="1" s="1"/>
  <c r="AN52" i="1"/>
  <c r="AN67" i="1" s="1"/>
  <c r="BJ52" i="1"/>
  <c r="BJ67" i="1" s="1"/>
  <c r="BG52" i="1"/>
  <c r="BG67" i="1" s="1"/>
  <c r="V52" i="1"/>
  <c r="V67" i="1" s="1"/>
  <c r="AC52" i="1"/>
  <c r="AC67" i="1" s="1"/>
  <c r="N52" i="1"/>
  <c r="N67" i="1" s="1"/>
  <c r="BY52" i="1"/>
  <c r="BY67" i="1" s="1"/>
  <c r="T52" i="1"/>
  <c r="T67" i="1" s="1"/>
  <c r="AA52" i="1"/>
  <c r="AA67" i="1" s="1"/>
  <c r="L52" i="1"/>
  <c r="L67" i="1" s="1"/>
  <c r="AZ52" i="1"/>
  <c r="AZ67" i="1" s="1"/>
  <c r="BU52" i="1"/>
  <c r="BU67" i="1" s="1"/>
  <c r="AO52" i="1"/>
  <c r="AO67" i="1" s="1"/>
  <c r="K52" i="1"/>
  <c r="K67" i="1" s="1"/>
  <c r="AQ52" i="1"/>
  <c r="AQ67" i="1" s="1"/>
  <c r="G52" i="1"/>
  <c r="G67" i="1" s="1"/>
  <c r="C52" i="1"/>
  <c r="Y52" i="1"/>
  <c r="Y67" i="1" s="1"/>
  <c r="BF52" i="1"/>
  <c r="BF67" i="1" s="1"/>
  <c r="AF52" i="1"/>
  <c r="AF67" i="1" s="1"/>
  <c r="AI52" i="1"/>
  <c r="AI67" i="1" s="1"/>
  <c r="R52" i="1"/>
  <c r="R67" i="1" s="1"/>
  <c r="P52" i="1"/>
  <c r="P67" i="1" s="1"/>
  <c r="J52" i="1"/>
  <c r="J67" i="1" s="1"/>
  <c r="AM52" i="1"/>
  <c r="AM67" i="1" s="1"/>
  <c r="BS52" i="1"/>
  <c r="BS67" i="1" s="1"/>
  <c r="BO52" i="1"/>
  <c r="BO67" i="1" s="1"/>
  <c r="BM52" i="1"/>
  <c r="BM67" i="1" s="1"/>
  <c r="AX52" i="1"/>
  <c r="AX67" i="1" s="1"/>
  <c r="E52" i="1"/>
  <c r="E67" i="1" s="1"/>
  <c r="BH52" i="1"/>
  <c r="BH67" i="1" s="1"/>
  <c r="CA52" i="1"/>
  <c r="CA67" i="1" s="1"/>
  <c r="CB52" i="1"/>
  <c r="CB67" i="1" s="1"/>
  <c r="AK52" i="1"/>
  <c r="AK67" i="1" s="1"/>
  <c r="C431" i="1"/>
  <c r="I367" i="9"/>
  <c r="Z52" i="1"/>
  <c r="Z67" i="1" s="1"/>
  <c r="G816" i="10"/>
  <c r="C430" i="10"/>
  <c r="F612" i="10"/>
  <c r="BF52" i="10"/>
  <c r="BF67" i="10" s="1"/>
  <c r="J789" i="10" s="1"/>
  <c r="D52" i="10"/>
  <c r="D67" i="10" s="1"/>
  <c r="J735" i="10" s="1"/>
  <c r="E52" i="10"/>
  <c r="E67" i="10" s="1"/>
  <c r="J736" i="10" s="1"/>
  <c r="AZ52" i="10"/>
  <c r="AZ67" i="10" s="1"/>
  <c r="J783" i="10" s="1"/>
  <c r="AU52" i="10"/>
  <c r="AU67" i="10" s="1"/>
  <c r="J778" i="10" s="1"/>
  <c r="M52" i="10"/>
  <c r="M67" i="10" s="1"/>
  <c r="J744" i="10" s="1"/>
  <c r="BY52" i="10"/>
  <c r="BY67" i="10" s="1"/>
  <c r="J808" i="10" s="1"/>
  <c r="BH52" i="10"/>
  <c r="BH67" i="10" s="1"/>
  <c r="J791" i="10" s="1"/>
  <c r="AL52" i="1"/>
  <c r="AL67" i="1" s="1"/>
  <c r="AR52" i="1"/>
  <c r="AR67" i="1" s="1"/>
  <c r="BD52" i="1"/>
  <c r="BD67" i="1" s="1"/>
  <c r="AW52" i="1"/>
  <c r="AW67" i="1" s="1"/>
  <c r="AV52" i="1"/>
  <c r="AV67" i="1" s="1"/>
  <c r="F24" i="6"/>
  <c r="E217" i="1"/>
  <c r="D341" i="1"/>
  <c r="C481" i="1" s="1"/>
  <c r="C50" i="8"/>
  <c r="AB52" i="1"/>
  <c r="AB67" i="1" s="1"/>
  <c r="BK52" i="1"/>
  <c r="BK67" i="1" s="1"/>
  <c r="AU52" i="1"/>
  <c r="AU67" i="1" s="1"/>
  <c r="F816" i="10"/>
  <c r="C429" i="10"/>
  <c r="BL52" i="10"/>
  <c r="BL67" i="10" s="1"/>
  <c r="J795" i="10" s="1"/>
  <c r="AK52" i="10"/>
  <c r="AK67" i="10" s="1"/>
  <c r="J768" i="10" s="1"/>
  <c r="N52" i="10"/>
  <c r="N67" i="10" s="1"/>
  <c r="J745" i="10" s="1"/>
  <c r="BD52" i="10"/>
  <c r="BD67" i="10" s="1"/>
  <c r="J787" i="10" s="1"/>
  <c r="BA52" i="10"/>
  <c r="BA67" i="10" s="1"/>
  <c r="J784" i="10" s="1"/>
  <c r="S52" i="10"/>
  <c r="S67" i="10" s="1"/>
  <c r="J750" i="10" s="1"/>
  <c r="J52" i="10"/>
  <c r="J67" i="10" s="1"/>
  <c r="J741" i="10" s="1"/>
  <c r="BL48" i="10"/>
  <c r="BL62" i="10" s="1"/>
  <c r="AF48" i="10"/>
  <c r="AF62" i="10" s="1"/>
  <c r="BB48" i="10"/>
  <c r="BB62" i="10" s="1"/>
  <c r="CA48" i="10"/>
  <c r="CA62" i="10" s="1"/>
  <c r="AU48" i="10"/>
  <c r="AU62" i="10" s="1"/>
  <c r="O48" i="10"/>
  <c r="O62" i="10" s="1"/>
  <c r="AT48" i="10"/>
  <c r="AT62" i="10" s="1"/>
  <c r="AW48" i="10"/>
  <c r="AW62" i="10" s="1"/>
  <c r="BY48" i="10"/>
  <c r="BY62" i="10" s="1"/>
  <c r="AS48" i="10"/>
  <c r="AS62" i="10" s="1"/>
  <c r="M48" i="10"/>
  <c r="M62" i="10" s="1"/>
  <c r="AG48" i="10"/>
  <c r="AG62" i="10" s="1"/>
  <c r="AZ48" i="10"/>
  <c r="AZ62" i="10" s="1"/>
  <c r="L48" i="10"/>
  <c r="L62" i="10" s="1"/>
  <c r="BG48" i="10"/>
  <c r="BG62" i="10" s="1"/>
  <c r="C427" i="10"/>
  <c r="BD48" i="10"/>
  <c r="BD62" i="10" s="1"/>
  <c r="H48" i="10"/>
  <c r="H62" i="10" s="1"/>
  <c r="BK48" i="10"/>
  <c r="BK62" i="10" s="1"/>
  <c r="W48" i="10"/>
  <c r="W62" i="10" s="1"/>
  <c r="AL48" i="10"/>
  <c r="AL62" i="10" s="1"/>
  <c r="BA48" i="10"/>
  <c r="BA62" i="10" s="1"/>
  <c r="BP48" i="10"/>
  <c r="BP62" i="10" s="1"/>
  <c r="AB48" i="10"/>
  <c r="AB62" i="10" s="1"/>
  <c r="S48" i="10"/>
  <c r="S62" i="10" s="1"/>
  <c r="I48" i="10"/>
  <c r="I62" i="10" s="1"/>
  <c r="AX48" i="10"/>
  <c r="AX62" i="10" s="1"/>
  <c r="R48" i="10"/>
  <c r="R62" i="10" s="1"/>
  <c r="AV48" i="10"/>
  <c r="AV62" i="10" s="1"/>
  <c r="V48" i="10"/>
  <c r="V62" i="10" s="1"/>
  <c r="E48" i="10"/>
  <c r="E62" i="10" s="1"/>
  <c r="AY48" i="10"/>
  <c r="AY62" i="10" s="1"/>
  <c r="K48" i="10"/>
  <c r="K62" i="10" s="1"/>
  <c r="AD48" i="10"/>
  <c r="AD62" i="10" s="1"/>
  <c r="BC48" i="10"/>
  <c r="BC62" i="10" s="1"/>
  <c r="N48" i="10"/>
  <c r="N62" i="10" s="1"/>
  <c r="BM48" i="10"/>
  <c r="BM62" i="10" s="1"/>
  <c r="T48" i="10"/>
  <c r="T62" i="10" s="1"/>
  <c r="BH48" i="10"/>
  <c r="BH62" i="10" s="1"/>
  <c r="AQ48" i="10"/>
  <c r="AQ62" i="10" s="1"/>
  <c r="BV48" i="10"/>
  <c r="BV62" i="10" s="1"/>
  <c r="AP48" i="10"/>
  <c r="AP62" i="10" s="1"/>
  <c r="J48" i="10"/>
  <c r="J62" i="10" s="1"/>
  <c r="D816" i="10"/>
  <c r="AN48" i="10"/>
  <c r="AN62" i="10" s="1"/>
  <c r="F48" i="10"/>
  <c r="F62" i="10" s="1"/>
  <c r="G48" i="10"/>
  <c r="G62" i="10" s="1"/>
  <c r="AK48" i="10"/>
  <c r="AK62" i="10" s="1"/>
  <c r="Y48" i="10"/>
  <c r="Y62" i="10" s="1"/>
  <c r="C48" i="10"/>
  <c r="CB48" i="10"/>
  <c r="CB62" i="10" s="1"/>
  <c r="BZ48" i="10"/>
  <c r="BZ62" i="10" s="1"/>
  <c r="D48" i="10"/>
  <c r="D62" i="10" s="1"/>
  <c r="BW48" i="10"/>
  <c r="BW62" i="10" s="1"/>
  <c r="BU48" i="10"/>
  <c r="BU62" i="10" s="1"/>
  <c r="AH48" i="10"/>
  <c r="AH62" i="10" s="1"/>
  <c r="Q48" i="10"/>
  <c r="Q62" i="10" s="1"/>
  <c r="BQ48" i="10"/>
  <c r="BQ62" i="10" s="1"/>
  <c r="BT48" i="10"/>
  <c r="BT62" i="10" s="1"/>
  <c r="BJ48" i="10"/>
  <c r="BJ62" i="10" s="1"/>
  <c r="BI48" i="10"/>
  <c r="BI62" i="10" s="1"/>
  <c r="BO48" i="10"/>
  <c r="BO62" i="10" s="1"/>
  <c r="BE48" i="10"/>
  <c r="BE62" i="10" s="1"/>
  <c r="Z48" i="10"/>
  <c r="Z62" i="10" s="1"/>
  <c r="BS48" i="10"/>
  <c r="BS62" i="10" s="1"/>
  <c r="BX48" i="10"/>
  <c r="BX62" i="10" s="1"/>
  <c r="CC48" i="10"/>
  <c r="CC62" i="10" s="1"/>
  <c r="AC48" i="10"/>
  <c r="AC62" i="10" s="1"/>
  <c r="AI48" i="10"/>
  <c r="AI62" i="10" s="1"/>
  <c r="BN48" i="10"/>
  <c r="BN62" i="10" s="1"/>
  <c r="AO48" i="10"/>
  <c r="AO62" i="10" s="1"/>
  <c r="X48" i="10"/>
  <c r="X62" i="10" s="1"/>
  <c r="AM48" i="10"/>
  <c r="AM62" i="10" s="1"/>
  <c r="AR48" i="10"/>
  <c r="AR62" i="10" s="1"/>
  <c r="AE48" i="10"/>
  <c r="AE62" i="10" s="1"/>
  <c r="AA48" i="10"/>
  <c r="AA62" i="10" s="1"/>
  <c r="BF48" i="10"/>
  <c r="BF62" i="10" s="1"/>
  <c r="BR48" i="10"/>
  <c r="BR62" i="10" s="1"/>
  <c r="U48" i="10"/>
  <c r="U62" i="10" s="1"/>
  <c r="P48" i="10"/>
  <c r="P62" i="10" s="1"/>
  <c r="AJ48" i="10"/>
  <c r="AJ62" i="10" s="1"/>
  <c r="BX52" i="1"/>
  <c r="BX67" i="1" s="1"/>
  <c r="AJ52" i="1"/>
  <c r="AJ67" i="1" s="1"/>
  <c r="AY52" i="1"/>
  <c r="AY67" i="1" s="1"/>
  <c r="U52" i="1"/>
  <c r="U67" i="1" s="1"/>
  <c r="F16" i="6"/>
  <c r="C476" i="1"/>
  <c r="F13" i="6"/>
  <c r="C473" i="1"/>
  <c r="I371" i="9"/>
  <c r="C440" i="1"/>
  <c r="CC52" i="10"/>
  <c r="CC67" i="10" s="1"/>
  <c r="J812" i="10" s="1"/>
  <c r="BQ52" i="10"/>
  <c r="BQ67" i="10" s="1"/>
  <c r="J800" i="10" s="1"/>
  <c r="AC52" i="10"/>
  <c r="AC67" i="10" s="1"/>
  <c r="J760" i="10" s="1"/>
  <c r="AL52" i="10"/>
  <c r="AL67" i="10" s="1"/>
  <c r="J769" i="10" s="1"/>
  <c r="Y52" i="10"/>
  <c r="Y67" i="10" s="1"/>
  <c r="J756" i="10" s="1"/>
  <c r="BK52" i="10"/>
  <c r="BK67" i="10" s="1"/>
  <c r="J794" i="10" s="1"/>
  <c r="AI52" i="10"/>
  <c r="AI67" i="10" s="1"/>
  <c r="J766" i="10" s="1"/>
  <c r="X52" i="10"/>
  <c r="X67" i="10" s="1"/>
  <c r="J755" i="10" s="1"/>
  <c r="AH52" i="10"/>
  <c r="AH67" i="10" s="1"/>
  <c r="J765" i="10" s="1"/>
  <c r="K52" i="10"/>
  <c r="K67" i="10" s="1"/>
  <c r="J742" i="10" s="1"/>
  <c r="AD52" i="10"/>
  <c r="AD67" i="10" s="1"/>
  <c r="J761" i="10" s="1"/>
  <c r="BW52" i="10"/>
  <c r="BW67" i="10" s="1"/>
  <c r="J806" i="10" s="1"/>
  <c r="T52" i="10"/>
  <c r="T67" i="10" s="1"/>
  <c r="J751" i="10" s="1"/>
  <c r="BE52" i="10"/>
  <c r="BE67" i="10" s="1"/>
  <c r="J788" i="10" s="1"/>
  <c r="F52" i="10"/>
  <c r="F67" i="10" s="1"/>
  <c r="J737" i="10" s="1"/>
  <c r="AR52" i="10"/>
  <c r="AR67" i="10" s="1"/>
  <c r="J775" i="10" s="1"/>
  <c r="BR52" i="10"/>
  <c r="BR67" i="10" s="1"/>
  <c r="J801" i="10" s="1"/>
  <c r="R52" i="10"/>
  <c r="R67" i="10" s="1"/>
  <c r="J749" i="10" s="1"/>
  <c r="BG52" i="10"/>
  <c r="BG67" i="10" s="1"/>
  <c r="J790" i="10" s="1"/>
  <c r="AG52" i="10"/>
  <c r="AG67" i="10" s="1"/>
  <c r="J764" i="10" s="1"/>
  <c r="P52" i="10"/>
  <c r="P67" i="10" s="1"/>
  <c r="J747" i="10" s="1"/>
  <c r="CB52" i="10"/>
  <c r="CB67" i="10" s="1"/>
  <c r="J811" i="10" s="1"/>
  <c r="BT52" i="1"/>
  <c r="BT67" i="1" s="1"/>
  <c r="BB52" i="1"/>
  <c r="BB67" i="1" s="1"/>
  <c r="BC52" i="1"/>
  <c r="BC67" i="1" s="1"/>
  <c r="BA52" i="1"/>
  <c r="BA67" i="1" s="1"/>
  <c r="F52" i="1"/>
  <c r="F67" i="1" s="1"/>
  <c r="H816" i="10"/>
  <c r="C431" i="10"/>
  <c r="AT52" i="10"/>
  <c r="AT67" i="10" s="1"/>
  <c r="J777" i="10" s="1"/>
  <c r="C463" i="10"/>
  <c r="O816" i="10"/>
  <c r="C52" i="10"/>
  <c r="BX52" i="10"/>
  <c r="BX67" i="10" s="1"/>
  <c r="J807" i="10" s="1"/>
  <c r="AX52" i="10"/>
  <c r="AX67" i="10" s="1"/>
  <c r="J781" i="10" s="1"/>
  <c r="W52" i="10"/>
  <c r="W67" i="10" s="1"/>
  <c r="J754" i="10" s="1"/>
  <c r="I52" i="10"/>
  <c r="I67" i="10" s="1"/>
  <c r="J740" i="10" s="1"/>
  <c r="BU52" i="10"/>
  <c r="BU67" i="10" s="1"/>
  <c r="J804" i="10" s="1"/>
  <c r="AM52" i="10"/>
  <c r="AM67" i="10" s="1"/>
  <c r="J770" i="10" s="1"/>
  <c r="V52" i="10"/>
  <c r="V67" i="10" s="1"/>
  <c r="J753" i="10" s="1"/>
  <c r="CE75" i="10"/>
  <c r="AD52" i="1"/>
  <c r="AD67" i="1" s="1"/>
  <c r="W52" i="1"/>
  <c r="W67" i="1" s="1"/>
  <c r="S52" i="1"/>
  <c r="S67" i="1" s="1"/>
  <c r="AE52" i="1"/>
  <c r="AE67" i="1" s="1"/>
  <c r="C102" i="8"/>
  <c r="C482" i="1"/>
  <c r="O52" i="1"/>
  <c r="O67" i="1" s="1"/>
  <c r="CC52" i="1"/>
  <c r="CC67" i="1" s="1"/>
  <c r="L52" i="10"/>
  <c r="L67" i="10" s="1"/>
  <c r="J743" i="10" s="1"/>
  <c r="H52" i="10"/>
  <c r="H67" i="10" s="1"/>
  <c r="J739" i="10" s="1"/>
  <c r="BC52" i="10"/>
  <c r="BC67" i="10" s="1"/>
  <c r="J786" i="10" s="1"/>
  <c r="AF52" i="10"/>
  <c r="AF67" i="10" s="1"/>
  <c r="J763" i="10" s="1"/>
  <c r="O52" i="10"/>
  <c r="O67" i="10" s="1"/>
  <c r="J746" i="10" s="1"/>
  <c r="CA52" i="10"/>
  <c r="CA67" i="10" s="1"/>
  <c r="J810" i="10" s="1"/>
  <c r="AS52" i="10"/>
  <c r="AS67" i="10" s="1"/>
  <c r="J776" i="10" s="1"/>
  <c r="AB52" i="10"/>
  <c r="AB67" i="10" s="1"/>
  <c r="J759" i="10" s="1"/>
  <c r="BQ52" i="1"/>
  <c r="BQ67" i="1" s="1"/>
  <c r="AH52" i="1"/>
  <c r="AH67" i="1" s="1"/>
  <c r="BL52" i="1"/>
  <c r="BL67" i="1" s="1"/>
  <c r="BW52" i="1"/>
  <c r="BW67" i="1" s="1"/>
  <c r="I378" i="9"/>
  <c r="K612" i="1"/>
  <c r="C465" i="1"/>
  <c r="C120" i="8"/>
  <c r="D373" i="1"/>
  <c r="I368" i="9"/>
  <c r="C432" i="1"/>
  <c r="E788" i="10" l="1"/>
  <c r="BE71" i="10"/>
  <c r="E790" i="10"/>
  <c r="BG71" i="10"/>
  <c r="D273" i="9"/>
  <c r="G236" i="9"/>
  <c r="BD71" i="1"/>
  <c r="N816" i="10"/>
  <c r="C465" i="10"/>
  <c r="K612" i="10"/>
  <c r="BO71" i="10"/>
  <c r="E798" i="10"/>
  <c r="E753" i="10"/>
  <c r="V71" i="10"/>
  <c r="G273" i="9"/>
  <c r="G49" i="9"/>
  <c r="AP71" i="1"/>
  <c r="G172" i="9"/>
  <c r="I108" i="9"/>
  <c r="AD71" i="1"/>
  <c r="H49" i="9"/>
  <c r="E241" i="9"/>
  <c r="I209" i="9"/>
  <c r="E758" i="10"/>
  <c r="AA71" i="10"/>
  <c r="E766" i="10"/>
  <c r="AI71" i="10"/>
  <c r="E792" i="10"/>
  <c r="BI71" i="10"/>
  <c r="E735" i="10"/>
  <c r="D71" i="10"/>
  <c r="E771" i="10"/>
  <c r="AN71" i="10"/>
  <c r="BM71" i="10"/>
  <c r="E796" i="10"/>
  <c r="E779" i="10"/>
  <c r="AV71" i="10"/>
  <c r="E769" i="10"/>
  <c r="AL71" i="10"/>
  <c r="E783" i="10"/>
  <c r="AZ71" i="10"/>
  <c r="E778" i="10"/>
  <c r="AU71" i="10"/>
  <c r="G113" i="9"/>
  <c r="G241" i="9"/>
  <c r="H209" i="9"/>
  <c r="G145" i="9"/>
  <c r="F177" i="9"/>
  <c r="H113" i="9"/>
  <c r="C81" i="9"/>
  <c r="G12" i="9"/>
  <c r="G71" i="1"/>
  <c r="E71" i="1"/>
  <c r="E12" i="9"/>
  <c r="E332" i="9"/>
  <c r="BW71" i="1"/>
  <c r="AC71" i="1"/>
  <c r="H108" i="9"/>
  <c r="I236" i="9"/>
  <c r="BF71" i="1"/>
  <c r="F12" i="9"/>
  <c r="F71" i="1"/>
  <c r="I12" i="9"/>
  <c r="I71" i="1"/>
  <c r="BT71" i="1"/>
  <c r="I300" i="9"/>
  <c r="AM71" i="1"/>
  <c r="D172" i="9"/>
  <c r="E44" i="9"/>
  <c r="L71" i="1"/>
  <c r="C44" i="9"/>
  <c r="J71" i="1"/>
  <c r="I113" i="9"/>
  <c r="E801" i="10"/>
  <c r="BR71" i="10"/>
  <c r="E791" i="10"/>
  <c r="BH71" i="10"/>
  <c r="H177" i="9"/>
  <c r="C76" i="9"/>
  <c r="Q71" i="1"/>
  <c r="I204" i="9"/>
  <c r="AY71" i="1"/>
  <c r="D369" i="9"/>
  <c r="G81" i="9"/>
  <c r="D81" i="9"/>
  <c r="D204" i="9"/>
  <c r="AT71" i="1"/>
  <c r="H12" i="9"/>
  <c r="H71" i="1"/>
  <c r="I305" i="9"/>
  <c r="H145" i="9"/>
  <c r="E762" i="10"/>
  <c r="AE71" i="10"/>
  <c r="E760" i="10"/>
  <c r="AC71" i="10"/>
  <c r="BJ71" i="10"/>
  <c r="E793" i="10"/>
  <c r="E809" i="10"/>
  <c r="BZ71" i="10"/>
  <c r="E745" i="10"/>
  <c r="N71" i="10"/>
  <c r="E749" i="10"/>
  <c r="R71" i="10"/>
  <c r="W71" i="10"/>
  <c r="E754" i="10"/>
  <c r="E764" i="10"/>
  <c r="AG71" i="10"/>
  <c r="E810" i="10"/>
  <c r="CA71" i="10"/>
  <c r="I177" i="9"/>
  <c r="I273" i="9"/>
  <c r="D145" i="9"/>
  <c r="C337" i="9"/>
  <c r="H81" i="9"/>
  <c r="D209" i="9"/>
  <c r="G44" i="9"/>
  <c r="N71" i="1"/>
  <c r="K71" i="1"/>
  <c r="D44" i="9"/>
  <c r="C108" i="9"/>
  <c r="X71" i="1"/>
  <c r="G300" i="9"/>
  <c r="BR71" i="1"/>
  <c r="F332" i="9"/>
  <c r="BX71" i="1"/>
  <c r="BO71" i="1"/>
  <c r="D300" i="9"/>
  <c r="CE48" i="1"/>
  <c r="C62" i="1"/>
  <c r="F204" i="9"/>
  <c r="AV71" i="1"/>
  <c r="AW71" i="1"/>
  <c r="G204" i="9"/>
  <c r="O71" i="1"/>
  <c r="H44" i="9"/>
  <c r="BP71" i="1"/>
  <c r="E300" i="9"/>
  <c r="AO71" i="10"/>
  <c r="E772" i="10"/>
  <c r="C305" i="9"/>
  <c r="BS71" i="1"/>
  <c r="H300" i="9"/>
  <c r="E236" i="9"/>
  <c r="BB71" i="1"/>
  <c r="C67" i="10"/>
  <c r="CE52" i="10"/>
  <c r="E789" i="10"/>
  <c r="BF71" i="10"/>
  <c r="T71" i="10"/>
  <c r="E751" i="10"/>
  <c r="E273" i="9"/>
  <c r="BA71" i="1"/>
  <c r="D236" i="9"/>
  <c r="F337" i="9"/>
  <c r="E775" i="10"/>
  <c r="AR71" i="10"/>
  <c r="E812" i="10"/>
  <c r="CC71" i="10"/>
  <c r="E803" i="10"/>
  <c r="BT71" i="10"/>
  <c r="E811" i="10"/>
  <c r="CB71" i="10"/>
  <c r="E741" i="10"/>
  <c r="J71" i="10"/>
  <c r="E786" i="10"/>
  <c r="BC71" i="10"/>
  <c r="E781" i="10"/>
  <c r="AX71" i="10"/>
  <c r="E794" i="10"/>
  <c r="BK71" i="10"/>
  <c r="E744" i="10"/>
  <c r="M71" i="10"/>
  <c r="E785" i="10"/>
  <c r="BB71" i="10"/>
  <c r="C177" i="9"/>
  <c r="D305" i="9"/>
  <c r="I241" i="9"/>
  <c r="C241" i="9"/>
  <c r="C273" i="9"/>
  <c r="G305" i="9"/>
  <c r="F236" i="9"/>
  <c r="BC71" i="1"/>
  <c r="BL71" i="1"/>
  <c r="H268" i="9"/>
  <c r="I332" i="9"/>
  <c r="CA71" i="1"/>
  <c r="G76" i="9"/>
  <c r="U71" i="1"/>
  <c r="I140" i="9"/>
  <c r="AK71" i="1"/>
  <c r="D140" i="9"/>
  <c r="AF71" i="1"/>
  <c r="BJ71" i="1"/>
  <c r="F268" i="9"/>
  <c r="I172" i="9"/>
  <c r="AR71" i="1"/>
  <c r="D76" i="9"/>
  <c r="R71" i="1"/>
  <c r="D108" i="9"/>
  <c r="Y71" i="1"/>
  <c r="E305" i="9"/>
  <c r="F305" i="9"/>
  <c r="BU71" i="10"/>
  <c r="E804" i="10"/>
  <c r="E799" i="10"/>
  <c r="BP71" i="10"/>
  <c r="F209" i="9"/>
  <c r="E145" i="9"/>
  <c r="C140" i="9"/>
  <c r="AE71" i="1"/>
  <c r="H337" i="9"/>
  <c r="F241" i="9"/>
  <c r="E797" i="10"/>
  <c r="BN71" i="10"/>
  <c r="E784" i="10"/>
  <c r="BA71" i="10"/>
  <c r="G209" i="9"/>
  <c r="D49" i="9"/>
  <c r="C268" i="9"/>
  <c r="BG71" i="1"/>
  <c r="E337" i="9"/>
  <c r="C145" i="9"/>
  <c r="E767" i="10"/>
  <c r="AJ71" i="10"/>
  <c r="E770" i="10"/>
  <c r="AM71" i="10"/>
  <c r="E807" i="10"/>
  <c r="BX71" i="10"/>
  <c r="E800" i="10"/>
  <c r="BQ71" i="10"/>
  <c r="C62" i="10"/>
  <c r="CE48" i="10"/>
  <c r="E773" i="10"/>
  <c r="AP71" i="10"/>
  <c r="AD71" i="10"/>
  <c r="E761" i="10"/>
  <c r="E740" i="10"/>
  <c r="I71" i="10"/>
  <c r="E739" i="10"/>
  <c r="H71" i="10"/>
  <c r="E776" i="10"/>
  <c r="AS71" i="10"/>
  <c r="E763" i="10"/>
  <c r="AF71" i="10"/>
  <c r="I145" i="9"/>
  <c r="H305" i="9"/>
  <c r="D113" i="9"/>
  <c r="E49" i="9"/>
  <c r="F273" i="9"/>
  <c r="F49" i="9"/>
  <c r="AS71" i="1"/>
  <c r="C204" i="9"/>
  <c r="D12" i="9"/>
  <c r="D71" i="1"/>
  <c r="F172" i="9"/>
  <c r="AO71" i="1"/>
  <c r="F44" i="9"/>
  <c r="M71" i="1"/>
  <c r="H332" i="9"/>
  <c r="BZ71" i="1"/>
  <c r="I268" i="9"/>
  <c r="BM71" i="1"/>
  <c r="C172" i="9"/>
  <c r="AL71" i="1"/>
  <c r="Z71" i="1"/>
  <c r="E108" i="9"/>
  <c r="CB71" i="1"/>
  <c r="C364" i="9"/>
  <c r="AH71" i="1"/>
  <c r="F140" i="9"/>
  <c r="H17" i="9"/>
  <c r="C209" i="9"/>
  <c r="E738" i="10"/>
  <c r="G71" i="10"/>
  <c r="E777" i="10"/>
  <c r="AT71" i="10"/>
  <c r="G337" i="9"/>
  <c r="BI71" i="1"/>
  <c r="E268" i="9"/>
  <c r="E76" i="9"/>
  <c r="S71" i="1"/>
  <c r="E806" i="10"/>
  <c r="BW71" i="10"/>
  <c r="E743" i="10"/>
  <c r="L71" i="10"/>
  <c r="E113" i="9"/>
  <c r="AA71" i="1"/>
  <c r="F108" i="9"/>
  <c r="P71" i="1"/>
  <c r="I44" i="9"/>
  <c r="H273" i="9"/>
  <c r="E81" i="9"/>
  <c r="E747" i="10"/>
  <c r="P71" i="10"/>
  <c r="E755" i="10"/>
  <c r="X71" i="10"/>
  <c r="E802" i="10"/>
  <c r="BS71" i="10"/>
  <c r="E748" i="10"/>
  <c r="Q71" i="10"/>
  <c r="E756" i="10"/>
  <c r="Y71" i="10"/>
  <c r="E805" i="10"/>
  <c r="BV71" i="10"/>
  <c r="E742" i="10"/>
  <c r="K71" i="10"/>
  <c r="S71" i="10"/>
  <c r="E750" i="10"/>
  <c r="E787" i="10"/>
  <c r="BD71" i="10"/>
  <c r="E808" i="10"/>
  <c r="BY71" i="10"/>
  <c r="E795" i="10"/>
  <c r="BL71" i="10"/>
  <c r="F32" i="6"/>
  <c r="C478" i="1"/>
  <c r="C369" i="9"/>
  <c r="D177" i="9"/>
  <c r="CE52" i="1"/>
  <c r="C67" i="1"/>
  <c r="F113" i="9"/>
  <c r="E177" i="9"/>
  <c r="H241" i="9"/>
  <c r="H204" i="9"/>
  <c r="AX71" i="1"/>
  <c r="G332" i="9"/>
  <c r="BY71" i="1"/>
  <c r="BV71" i="1"/>
  <c r="D332" i="9"/>
  <c r="D364" i="9"/>
  <c r="CC71" i="1"/>
  <c r="F300" i="9"/>
  <c r="BQ71" i="1"/>
  <c r="BK71" i="1"/>
  <c r="G268" i="9"/>
  <c r="H236" i="9"/>
  <c r="BE71" i="1"/>
  <c r="AZ71" i="1"/>
  <c r="C236" i="9"/>
  <c r="I17" i="9"/>
  <c r="D241" i="9"/>
  <c r="E736" i="10"/>
  <c r="E71" i="10"/>
  <c r="E209" i="9"/>
  <c r="I49" i="9"/>
  <c r="D268" i="9"/>
  <c r="BH71" i="1"/>
  <c r="BN71" i="1"/>
  <c r="C300" i="9"/>
  <c r="E737" i="10"/>
  <c r="F71" i="10"/>
  <c r="E746" i="10"/>
  <c r="O71" i="10"/>
  <c r="E17" i="9"/>
  <c r="C332" i="9"/>
  <c r="BU71" i="1"/>
  <c r="I76" i="9"/>
  <c r="W71" i="1"/>
  <c r="C126" i="8"/>
  <c r="D391" i="1"/>
  <c r="F145" i="9"/>
  <c r="I81" i="9"/>
  <c r="F17" i="9"/>
  <c r="E752" i="10"/>
  <c r="U71" i="10"/>
  <c r="E757" i="10"/>
  <c r="Z71" i="10"/>
  <c r="E765" i="10"/>
  <c r="AH71" i="10"/>
  <c r="E768" i="10"/>
  <c r="AK71" i="10"/>
  <c r="E774" i="10"/>
  <c r="AQ71" i="10"/>
  <c r="E782" i="10"/>
  <c r="AY71" i="10"/>
  <c r="E759" i="10"/>
  <c r="AB71" i="10"/>
  <c r="E780" i="10"/>
  <c r="AW71" i="10"/>
  <c r="I337" i="9"/>
  <c r="C49" i="9"/>
  <c r="G17" i="9"/>
  <c r="F81" i="9"/>
  <c r="D17" i="9"/>
  <c r="D337" i="9"/>
  <c r="AN71" i="1"/>
  <c r="E172" i="9"/>
  <c r="V71" i="1"/>
  <c r="H76" i="9"/>
  <c r="AG71" i="1"/>
  <c r="E140" i="9"/>
  <c r="G108" i="9"/>
  <c r="AB71" i="1"/>
  <c r="T71" i="1"/>
  <c r="F76" i="9"/>
  <c r="AQ71" i="1"/>
  <c r="H172" i="9"/>
  <c r="AJ71" i="1"/>
  <c r="H140" i="9"/>
  <c r="E204" i="9"/>
  <c r="AU71" i="1"/>
  <c r="AI71" i="1"/>
  <c r="G140" i="9"/>
  <c r="G177" i="9"/>
  <c r="C516" i="1" l="1"/>
  <c r="G516" i="1" s="1"/>
  <c r="I85" i="9"/>
  <c r="C688" i="1"/>
  <c r="C682" i="10"/>
  <c r="C510" i="10"/>
  <c r="G510" i="10" s="1"/>
  <c r="B510" i="1"/>
  <c r="C711" i="10"/>
  <c r="C539" i="10"/>
  <c r="G539" i="10" s="1"/>
  <c r="B539" i="1"/>
  <c r="C623" i="10"/>
  <c r="C562" i="10"/>
  <c r="B562" i="1"/>
  <c r="C622" i="10"/>
  <c r="C573" i="10"/>
  <c r="B573" i="1"/>
  <c r="C685" i="10"/>
  <c r="C513" i="10"/>
  <c r="G513" i="10" s="1"/>
  <c r="B513" i="1"/>
  <c r="C569" i="1"/>
  <c r="F341" i="9"/>
  <c r="C644" i="1"/>
  <c r="C555" i="10"/>
  <c r="C617" i="10"/>
  <c r="B555" i="1"/>
  <c r="C521" i="1"/>
  <c r="G521" i="1" s="1"/>
  <c r="G117" i="9"/>
  <c r="C693" i="1"/>
  <c r="C620" i="1"/>
  <c r="C574" i="1"/>
  <c r="D373" i="9"/>
  <c r="C616" i="1"/>
  <c r="C543" i="1"/>
  <c r="H213" i="9"/>
  <c r="C512" i="10"/>
  <c r="C684" i="10"/>
  <c r="B512" i="1"/>
  <c r="C520" i="1"/>
  <c r="G520" i="1" s="1"/>
  <c r="C692" i="1"/>
  <c r="F117" i="9"/>
  <c r="C537" i="1"/>
  <c r="G537" i="1" s="1"/>
  <c r="I181" i="9"/>
  <c r="C709" i="1"/>
  <c r="I149" i="9"/>
  <c r="C702" i="1"/>
  <c r="C530" i="1"/>
  <c r="G530" i="1" s="1"/>
  <c r="C551" i="10"/>
  <c r="C629" i="10"/>
  <c r="B551" i="1"/>
  <c r="E309" i="9"/>
  <c r="C561" i="1"/>
  <c r="C621" i="1"/>
  <c r="C683" i="10"/>
  <c r="B511" i="1"/>
  <c r="C511" i="10"/>
  <c r="G511" i="10" s="1"/>
  <c r="C694" i="10"/>
  <c r="C522" i="10"/>
  <c r="B522" i="1"/>
  <c r="C510" i="1"/>
  <c r="G510" i="1" s="1"/>
  <c r="C682" i="1"/>
  <c r="C85" i="9"/>
  <c r="C498" i="1"/>
  <c r="G498" i="1" s="1"/>
  <c r="E21" i="9"/>
  <c r="C670" i="1"/>
  <c r="C713" i="10"/>
  <c r="C541" i="10"/>
  <c r="B541" i="1"/>
  <c r="C634" i="10"/>
  <c r="C554" i="10"/>
  <c r="B554" i="1"/>
  <c r="C535" i="1"/>
  <c r="G535" i="1" s="1"/>
  <c r="C707" i="1"/>
  <c r="G181" i="9"/>
  <c r="E85" i="9"/>
  <c r="C684" i="1"/>
  <c r="C512" i="1"/>
  <c r="G512" i="1" s="1"/>
  <c r="C497" i="1"/>
  <c r="G497" i="1" s="1"/>
  <c r="D21" i="9"/>
  <c r="C669" i="1"/>
  <c r="C635" i="10"/>
  <c r="C556" i="10"/>
  <c r="B556" i="1"/>
  <c r="C713" i="1"/>
  <c r="F213" i="9"/>
  <c r="C541" i="1"/>
  <c r="C516" i="10"/>
  <c r="G516" i="10" s="1"/>
  <c r="C688" i="10"/>
  <c r="B516" i="1"/>
  <c r="C563" i="10"/>
  <c r="C626" i="10"/>
  <c r="B563" i="1"/>
  <c r="I21" i="9"/>
  <c r="C674" i="1"/>
  <c r="C502" i="1"/>
  <c r="G502" i="1" s="1"/>
  <c r="C529" i="1"/>
  <c r="G529" i="1" s="1"/>
  <c r="H149" i="9"/>
  <c r="C701" i="1"/>
  <c r="C700" i="1"/>
  <c r="G149" i="9"/>
  <c r="C528" i="1"/>
  <c r="G528" i="1" s="1"/>
  <c r="C693" i="10"/>
  <c r="C521" i="10"/>
  <c r="B521" i="1"/>
  <c r="C699" i="10"/>
  <c r="C527" i="10"/>
  <c r="G527" i="10" s="1"/>
  <c r="B527" i="1"/>
  <c r="C671" i="10"/>
  <c r="C499" i="10"/>
  <c r="G499" i="10" s="1"/>
  <c r="B499" i="1"/>
  <c r="C17" i="9"/>
  <c r="CE67" i="1"/>
  <c r="C557" i="10"/>
  <c r="C637" i="10"/>
  <c r="B557" i="1"/>
  <c r="C676" i="10"/>
  <c r="C504" i="10"/>
  <c r="G504" i="10" s="1"/>
  <c r="B504" i="1"/>
  <c r="C564" i="10"/>
  <c r="C639" i="10"/>
  <c r="B564" i="1"/>
  <c r="C672" i="10"/>
  <c r="C500" i="10"/>
  <c r="G500" i="10" s="1"/>
  <c r="B500" i="1"/>
  <c r="F149" i="9"/>
  <c r="C527" i="1"/>
  <c r="G527" i="1" s="1"/>
  <c r="C699" i="1"/>
  <c r="C181" i="9"/>
  <c r="C531" i="1"/>
  <c r="G531" i="1" s="1"/>
  <c r="C703" i="1"/>
  <c r="C697" i="10"/>
  <c r="C525" i="10"/>
  <c r="G525" i="10" s="1"/>
  <c r="B525" i="1"/>
  <c r="C644" i="10"/>
  <c r="C569" i="10"/>
  <c r="B569" i="1"/>
  <c r="C561" i="10"/>
  <c r="C621" i="10"/>
  <c r="B561" i="1"/>
  <c r="C518" i="1"/>
  <c r="G518" i="1" s="1"/>
  <c r="C690" i="1"/>
  <c r="D117" i="9"/>
  <c r="C543" i="10"/>
  <c r="C616" i="10"/>
  <c r="B543" i="1"/>
  <c r="C565" i="10"/>
  <c r="C640" i="10"/>
  <c r="B565" i="1"/>
  <c r="C564" i="1"/>
  <c r="H309" i="9"/>
  <c r="C639" i="1"/>
  <c r="C676" i="1"/>
  <c r="D53" i="9"/>
  <c r="C504" i="1"/>
  <c r="G504" i="1" s="1"/>
  <c r="H21" i="9"/>
  <c r="C673" i="1"/>
  <c r="C501" i="1"/>
  <c r="G501" i="1" s="1"/>
  <c r="C500" i="1"/>
  <c r="G500" i="1" s="1"/>
  <c r="G21" i="9"/>
  <c r="C672" i="1"/>
  <c r="C627" i="10"/>
  <c r="C560" i="10"/>
  <c r="B560" i="1"/>
  <c r="C674" i="10"/>
  <c r="C502" i="10"/>
  <c r="G502" i="10" s="1"/>
  <c r="B502" i="1"/>
  <c r="C705" i="1"/>
  <c r="C533" i="1"/>
  <c r="G533" i="1" s="1"/>
  <c r="E181" i="9"/>
  <c r="C536" i="1"/>
  <c r="G536" i="1" s="1"/>
  <c r="C708" i="1"/>
  <c r="H181" i="9"/>
  <c r="C625" i="10"/>
  <c r="C544" i="10"/>
  <c r="B544" i="1"/>
  <c r="C691" i="10"/>
  <c r="C519" i="10"/>
  <c r="G519" i="10" s="1"/>
  <c r="B519" i="1"/>
  <c r="C641" i="1"/>
  <c r="C341" i="9"/>
  <c r="C566" i="1"/>
  <c r="D341" i="9"/>
  <c r="C642" i="1"/>
  <c r="C567" i="1"/>
  <c r="C570" i="10"/>
  <c r="C645" i="10"/>
  <c r="B570" i="1"/>
  <c r="C642" i="10"/>
  <c r="C567" i="10"/>
  <c r="B567" i="1"/>
  <c r="C689" i="10"/>
  <c r="C517" i="10"/>
  <c r="B517" i="1"/>
  <c r="C677" i="10"/>
  <c r="C505" i="10"/>
  <c r="G505" i="10" s="1"/>
  <c r="B505" i="1"/>
  <c r="C554" i="1"/>
  <c r="C634" i="1"/>
  <c r="E277" i="9"/>
  <c r="C538" i="10"/>
  <c r="G538" i="10" s="1"/>
  <c r="C710" i="10"/>
  <c r="B538" i="1"/>
  <c r="C707" i="10"/>
  <c r="C535" i="10"/>
  <c r="G535" i="10" s="1"/>
  <c r="B535" i="1"/>
  <c r="C704" i="10"/>
  <c r="C532" i="10"/>
  <c r="G532" i="10" s="1"/>
  <c r="B532" i="1"/>
  <c r="C618" i="1"/>
  <c r="C552" i="1"/>
  <c r="C277" i="9"/>
  <c r="C686" i="1"/>
  <c r="G85" i="9"/>
  <c r="C514" i="1"/>
  <c r="G514" i="1" s="1"/>
  <c r="C557" i="1"/>
  <c r="C637" i="1"/>
  <c r="H277" i="9"/>
  <c r="C547" i="10"/>
  <c r="B547" i="1"/>
  <c r="C632" i="10"/>
  <c r="C633" i="10"/>
  <c r="C548" i="10"/>
  <c r="B548" i="1"/>
  <c r="C574" i="10"/>
  <c r="C620" i="10"/>
  <c r="B574" i="1"/>
  <c r="C546" i="1"/>
  <c r="G546" i="1" s="1"/>
  <c r="D245" i="9"/>
  <c r="C630" i="1"/>
  <c r="J734" i="10"/>
  <c r="J815" i="10" s="1"/>
  <c r="CE67" i="10"/>
  <c r="G309" i="9"/>
  <c r="C626" i="1"/>
  <c r="C563" i="1"/>
  <c r="C638" i="10"/>
  <c r="C558" i="10"/>
  <c r="B558" i="1"/>
  <c r="C515" i="1"/>
  <c r="G515" i="1" s="1"/>
  <c r="H85" i="9"/>
  <c r="C687" i="1"/>
  <c r="C680" i="10"/>
  <c r="C508" i="10"/>
  <c r="G508" i="10" s="1"/>
  <c r="B508" i="1"/>
  <c r="C546" i="10"/>
  <c r="C630" i="10"/>
  <c r="B546" i="1"/>
  <c r="C508" i="1"/>
  <c r="G508" i="1" s="1"/>
  <c r="H53" i="9"/>
  <c r="C680" i="1"/>
  <c r="F21" i="9"/>
  <c r="C499" i="1"/>
  <c r="G499" i="1" s="1"/>
  <c r="C671" i="1"/>
  <c r="C712" i="10"/>
  <c r="C540" i="10"/>
  <c r="G540" i="10" s="1"/>
  <c r="B540" i="1"/>
  <c r="C540" i="1"/>
  <c r="G540" i="1" s="1"/>
  <c r="E213" i="9"/>
  <c r="C712" i="1"/>
  <c r="C698" i="1"/>
  <c r="E149" i="9"/>
  <c r="C526" i="1"/>
  <c r="G526" i="1" s="1"/>
  <c r="F309" i="9"/>
  <c r="C562" i="1"/>
  <c r="C623" i="1"/>
  <c r="C373" i="9"/>
  <c r="C573" i="1"/>
  <c r="C622" i="1"/>
  <c r="C558" i="1"/>
  <c r="C638" i="1"/>
  <c r="I277" i="9"/>
  <c r="C213" i="9"/>
  <c r="C710" i="1"/>
  <c r="C538" i="1"/>
  <c r="G538" i="1" s="1"/>
  <c r="C619" i="10"/>
  <c r="C559" i="10"/>
  <c r="B559" i="1"/>
  <c r="C641" i="10"/>
  <c r="C566" i="10"/>
  <c r="B566" i="1"/>
  <c r="D85" i="9"/>
  <c r="C511" i="1"/>
  <c r="G511" i="1" s="1"/>
  <c r="C683" i="1"/>
  <c r="C617" i="1"/>
  <c r="F277" i="9"/>
  <c r="C555" i="1"/>
  <c r="E245" i="9"/>
  <c r="C632" i="1"/>
  <c r="C547" i="1"/>
  <c r="C679" i="1"/>
  <c r="G53" i="9"/>
  <c r="C507" i="1"/>
  <c r="G507" i="1" s="1"/>
  <c r="C698" i="10"/>
  <c r="C526" i="10"/>
  <c r="G526" i="10" s="1"/>
  <c r="B526" i="1"/>
  <c r="C646" i="10"/>
  <c r="C571" i="10"/>
  <c r="B571" i="1"/>
  <c r="C503" i="1"/>
  <c r="G503" i="1" s="1"/>
  <c r="C675" i="1"/>
  <c r="C53" i="9"/>
  <c r="C643" i="1"/>
  <c r="C568" i="1"/>
  <c r="E341" i="9"/>
  <c r="C628" i="10"/>
  <c r="C545" i="10"/>
  <c r="G545" i="10" s="1"/>
  <c r="B545" i="1"/>
  <c r="C705" i="10"/>
  <c r="C533" i="10"/>
  <c r="G533" i="10" s="1"/>
  <c r="B533" i="1"/>
  <c r="C692" i="10"/>
  <c r="C520" i="10"/>
  <c r="G520" i="10" s="1"/>
  <c r="B520" i="1"/>
  <c r="C523" i="1"/>
  <c r="G523" i="1" s="1"/>
  <c r="C695" i="1"/>
  <c r="I117" i="9"/>
  <c r="C614" i="10"/>
  <c r="C550" i="10"/>
  <c r="B550" i="1"/>
  <c r="C631" i="10"/>
  <c r="B542" i="1"/>
  <c r="C542" i="10"/>
  <c r="C519" i="1"/>
  <c r="G519" i="1" s="1"/>
  <c r="E117" i="9"/>
  <c r="C691" i="1"/>
  <c r="C695" i="10"/>
  <c r="C523" i="10"/>
  <c r="B523" i="1"/>
  <c r="C679" i="10"/>
  <c r="C507" i="10"/>
  <c r="G507" i="10" s="1"/>
  <c r="B507" i="1"/>
  <c r="C694" i="1"/>
  <c r="H117" i="9"/>
  <c r="C522" i="1"/>
  <c r="G522" i="1" s="1"/>
  <c r="C700" i="10"/>
  <c r="C528" i="10"/>
  <c r="G528" i="10" s="1"/>
  <c r="B528" i="1"/>
  <c r="F85" i="9"/>
  <c r="C513" i="1"/>
  <c r="G513" i="1" s="1"/>
  <c r="C685" i="1"/>
  <c r="C708" i="10"/>
  <c r="C536" i="10"/>
  <c r="G536" i="10" s="1"/>
  <c r="B536" i="1"/>
  <c r="C514" i="10"/>
  <c r="C686" i="10"/>
  <c r="B514" i="1"/>
  <c r="C309" i="9"/>
  <c r="C619" i="1"/>
  <c r="C559" i="1"/>
  <c r="C498" i="10"/>
  <c r="C670" i="10"/>
  <c r="B498" i="1"/>
  <c r="C245" i="9"/>
  <c r="C545" i="1"/>
  <c r="G545" i="1" s="1"/>
  <c r="C628" i="1"/>
  <c r="G341" i="9"/>
  <c r="C570" i="1"/>
  <c r="C645" i="1"/>
  <c r="C549" i="10"/>
  <c r="C624" i="10"/>
  <c r="B549" i="1"/>
  <c r="C690" i="10"/>
  <c r="C518" i="10"/>
  <c r="B518" i="1"/>
  <c r="C509" i="10"/>
  <c r="C681" i="10"/>
  <c r="B509" i="1"/>
  <c r="I53" i="9"/>
  <c r="C681" i="1"/>
  <c r="C509" i="1"/>
  <c r="G509" i="1" s="1"/>
  <c r="C643" i="10"/>
  <c r="C568" i="10"/>
  <c r="B568" i="1"/>
  <c r="F181" i="9"/>
  <c r="C534" i="1"/>
  <c r="G534" i="1" s="1"/>
  <c r="C706" i="1"/>
  <c r="C501" i="10"/>
  <c r="G501" i="10" s="1"/>
  <c r="C673" i="10"/>
  <c r="B501" i="1"/>
  <c r="C701" i="10"/>
  <c r="C529" i="10"/>
  <c r="G529" i="10" s="1"/>
  <c r="B529" i="1"/>
  <c r="C525" i="1"/>
  <c r="G525" i="1" s="1"/>
  <c r="C697" i="1"/>
  <c r="D149" i="9"/>
  <c r="C633" i="1"/>
  <c r="C548" i="1"/>
  <c r="F245" i="9"/>
  <c r="C678" i="10"/>
  <c r="C506" i="10"/>
  <c r="G506" i="10" s="1"/>
  <c r="B506" i="1"/>
  <c r="C675" i="10"/>
  <c r="C503" i="10"/>
  <c r="G503" i="10" s="1"/>
  <c r="B503" i="1"/>
  <c r="C709" i="10"/>
  <c r="C537" i="10"/>
  <c r="G537" i="10" s="1"/>
  <c r="B537" i="1"/>
  <c r="C706" i="10"/>
  <c r="C534" i="10"/>
  <c r="G534" i="10" s="1"/>
  <c r="B534" i="1"/>
  <c r="C542" i="1"/>
  <c r="G213" i="9"/>
  <c r="C631" i="1"/>
  <c r="C117" i="9"/>
  <c r="C517" i="1"/>
  <c r="G517" i="1" s="1"/>
  <c r="C689" i="1"/>
  <c r="C711" i="1"/>
  <c r="D213" i="9"/>
  <c r="C539" i="1"/>
  <c r="G539" i="1" s="1"/>
  <c r="C553" i="10"/>
  <c r="C636" i="10"/>
  <c r="B553" i="1"/>
  <c r="C629" i="1"/>
  <c r="I245" i="9"/>
  <c r="C551" i="1"/>
  <c r="C549" i="1"/>
  <c r="G245" i="9"/>
  <c r="C624" i="1"/>
  <c r="C702" i="10"/>
  <c r="C530" i="10"/>
  <c r="G530" i="10" s="1"/>
  <c r="B530" i="1"/>
  <c r="C635" i="1"/>
  <c r="G277" i="9"/>
  <c r="C556" i="1"/>
  <c r="F53" i="9"/>
  <c r="C678" i="1"/>
  <c r="C506" i="1"/>
  <c r="G506" i="1" s="1"/>
  <c r="C524" i="1"/>
  <c r="G524" i="1" s="1"/>
  <c r="C696" i="1"/>
  <c r="C149" i="9"/>
  <c r="CE62" i="1"/>
  <c r="C12" i="9"/>
  <c r="C71" i="1"/>
  <c r="C572" i="10"/>
  <c r="C647" i="10"/>
  <c r="B572" i="1"/>
  <c r="C696" i="10"/>
  <c r="C524" i="10"/>
  <c r="B524" i="1"/>
  <c r="C532" i="1"/>
  <c r="G532" i="1" s="1"/>
  <c r="C704" i="1"/>
  <c r="D181" i="9"/>
  <c r="C552" i="10"/>
  <c r="C618" i="10"/>
  <c r="B552" i="1"/>
  <c r="D393" i="1"/>
  <c r="C142" i="8"/>
  <c r="C636" i="1"/>
  <c r="C553" i="1"/>
  <c r="D277" i="9"/>
  <c r="H245" i="9"/>
  <c r="C550" i="1"/>
  <c r="G550" i="1" s="1"/>
  <c r="C614" i="1"/>
  <c r="H341" i="9"/>
  <c r="C646" i="1"/>
  <c r="C571" i="1"/>
  <c r="CE62" i="10"/>
  <c r="E734" i="10"/>
  <c r="E815" i="10" s="1"/>
  <c r="C71" i="10"/>
  <c r="C647" i="1"/>
  <c r="C572" i="1"/>
  <c r="I341" i="9"/>
  <c r="C560" i="1"/>
  <c r="D309" i="9"/>
  <c r="C627" i="1"/>
  <c r="I213" i="9"/>
  <c r="C625" i="1"/>
  <c r="C544" i="1"/>
  <c r="G544" i="1" s="1"/>
  <c r="E53" i="9"/>
  <c r="C505" i="1"/>
  <c r="G505" i="1" s="1"/>
  <c r="C677" i="1"/>
  <c r="C640" i="1"/>
  <c r="C565" i="1"/>
  <c r="I309" i="9"/>
  <c r="C531" i="10"/>
  <c r="G531" i="10" s="1"/>
  <c r="C703" i="10"/>
  <c r="B531" i="1"/>
  <c r="C669" i="10"/>
  <c r="C497" i="10"/>
  <c r="G497" i="10" s="1"/>
  <c r="B497" i="1"/>
  <c r="C515" i="10"/>
  <c r="G515" i="10" s="1"/>
  <c r="C687" i="10"/>
  <c r="B515" i="1"/>
  <c r="E816" i="10" l="1"/>
  <c r="C428" i="10"/>
  <c r="CE71" i="10"/>
  <c r="C716" i="10" s="1"/>
  <c r="F503" i="1"/>
  <c r="H503" i="1"/>
  <c r="G522" i="10"/>
  <c r="H522" i="10" s="1"/>
  <c r="F497" i="1"/>
  <c r="H497" i="1"/>
  <c r="H528" i="1"/>
  <c r="F528" i="1"/>
  <c r="F520" i="1"/>
  <c r="H520" i="1"/>
  <c r="F532" i="1"/>
  <c r="H532" i="1"/>
  <c r="G517" i="10"/>
  <c r="H517" i="10" s="1"/>
  <c r="I369" i="9"/>
  <c r="C433" i="1"/>
  <c r="H516" i="1"/>
  <c r="F516" i="1"/>
  <c r="C496" i="1"/>
  <c r="G496" i="1" s="1"/>
  <c r="C668" i="1"/>
  <c r="C715" i="1" s="1"/>
  <c r="C21" i="9"/>
  <c r="F514" i="1"/>
  <c r="H514" i="1"/>
  <c r="F517" i="1"/>
  <c r="H517" i="1"/>
  <c r="F524" i="1"/>
  <c r="H524" i="1" s="1"/>
  <c r="H534" i="1"/>
  <c r="F534" i="1"/>
  <c r="F498" i="1"/>
  <c r="H498" i="1"/>
  <c r="G514" i="10"/>
  <c r="H514" i="10" s="1"/>
  <c r="F523" i="1"/>
  <c r="H523" i="1" s="1"/>
  <c r="H540" i="1"/>
  <c r="F540" i="1"/>
  <c r="J816" i="10"/>
  <c r="C433" i="10"/>
  <c r="F544" i="1"/>
  <c r="H544" i="1" s="1"/>
  <c r="F521" i="1"/>
  <c r="H521" i="1"/>
  <c r="F510" i="1"/>
  <c r="H510" i="1"/>
  <c r="H531" i="1"/>
  <c r="F531" i="1"/>
  <c r="C648" i="1"/>
  <c r="M716" i="1" s="1"/>
  <c r="D615" i="1"/>
  <c r="H529" i="1"/>
  <c r="F529" i="1"/>
  <c r="G498" i="10"/>
  <c r="H498" i="10" s="1"/>
  <c r="G550" i="10"/>
  <c r="H550" i="10" s="1"/>
  <c r="H533" i="1"/>
  <c r="F533" i="1"/>
  <c r="H535" i="1"/>
  <c r="F535" i="1"/>
  <c r="H525" i="1"/>
  <c r="F525" i="1"/>
  <c r="H499" i="1"/>
  <c r="F499" i="1"/>
  <c r="H512" i="1"/>
  <c r="F512" i="1"/>
  <c r="G524" i="10"/>
  <c r="H524" i="10"/>
  <c r="H509" i="1"/>
  <c r="F509" i="1"/>
  <c r="H536" i="1"/>
  <c r="F536" i="1"/>
  <c r="G523" i="10"/>
  <c r="H523" i="10" s="1"/>
  <c r="H546" i="1"/>
  <c r="F546" i="1"/>
  <c r="G544" i="10"/>
  <c r="H544" i="10" s="1"/>
  <c r="F502" i="1"/>
  <c r="H502" i="1"/>
  <c r="H504" i="1"/>
  <c r="F504" i="1"/>
  <c r="G521" i="10"/>
  <c r="H521" i="10"/>
  <c r="H530" i="1"/>
  <c r="F530" i="1"/>
  <c r="F537" i="1"/>
  <c r="H537" i="1"/>
  <c r="G509" i="10"/>
  <c r="H509" i="10"/>
  <c r="D615" i="10"/>
  <c r="C715" i="10"/>
  <c r="C648" i="10"/>
  <c r="M716" i="10" s="1"/>
  <c r="Y816" i="10" s="1"/>
  <c r="G546" i="10"/>
  <c r="H546" i="10"/>
  <c r="F505" i="1"/>
  <c r="H505" i="1"/>
  <c r="H500" i="1"/>
  <c r="F500" i="1"/>
  <c r="D396" i="1"/>
  <c r="C151" i="8" s="1"/>
  <c r="C146" i="8"/>
  <c r="F506" i="1"/>
  <c r="H506" i="1"/>
  <c r="F550" i="1"/>
  <c r="H550" i="1"/>
  <c r="H526" i="1"/>
  <c r="F526" i="1"/>
  <c r="H511" i="1"/>
  <c r="F511" i="1"/>
  <c r="F515" i="1"/>
  <c r="H515" i="1"/>
  <c r="C496" i="10"/>
  <c r="C668" i="10"/>
  <c r="B496" i="1"/>
  <c r="F518" i="1"/>
  <c r="H518" i="1"/>
  <c r="H508" i="1"/>
  <c r="F508" i="1"/>
  <c r="G512" i="10"/>
  <c r="H512" i="10"/>
  <c r="F513" i="1"/>
  <c r="H513" i="1"/>
  <c r="I364" i="9"/>
  <c r="C428" i="1"/>
  <c r="C441" i="1" s="1"/>
  <c r="CE71" i="1"/>
  <c r="H501" i="1"/>
  <c r="F501" i="1"/>
  <c r="G518" i="10"/>
  <c r="H518" i="10" s="1"/>
  <c r="H507" i="1"/>
  <c r="F507" i="1"/>
  <c r="H545" i="1"/>
  <c r="F545" i="1"/>
  <c r="F538" i="1"/>
  <c r="H538" i="1"/>
  <c r="F519" i="1"/>
  <c r="H519" i="1"/>
  <c r="H527" i="1"/>
  <c r="F527" i="1"/>
  <c r="F522" i="1"/>
  <c r="H522" i="1"/>
  <c r="F539" i="1"/>
  <c r="H539" i="1"/>
  <c r="F496" i="1" l="1"/>
  <c r="H496" i="1" s="1"/>
  <c r="D709" i="10"/>
  <c r="D713" i="10"/>
  <c r="D679" i="10"/>
  <c r="D670" i="10"/>
  <c r="D619" i="10"/>
  <c r="D618" i="10"/>
  <c r="D701" i="10"/>
  <c r="D705" i="10"/>
  <c r="D671" i="10"/>
  <c r="D647" i="10"/>
  <c r="D677" i="10"/>
  <c r="D691" i="10"/>
  <c r="D672" i="10"/>
  <c r="D685" i="10"/>
  <c r="D620" i="10"/>
  <c r="D683" i="10"/>
  <c r="D693" i="10"/>
  <c r="D697" i="10"/>
  <c r="D689" i="10"/>
  <c r="D646" i="10"/>
  <c r="D633" i="10"/>
  <c r="D675" i="10"/>
  <c r="D634" i="10"/>
  <c r="D669" i="10"/>
  <c r="D616" i="10"/>
  <c r="D637" i="10"/>
  <c r="D711" i="10"/>
  <c r="D690" i="10"/>
  <c r="D681" i="10"/>
  <c r="D645" i="10"/>
  <c r="D625" i="10"/>
  <c r="D644" i="10"/>
  <c r="D631" i="10"/>
  <c r="D624" i="10"/>
  <c r="D706" i="10"/>
  <c r="D635" i="10"/>
  <c r="D703" i="10"/>
  <c r="D682" i="10"/>
  <c r="D673" i="10"/>
  <c r="D698" i="10"/>
  <c r="D684" i="10"/>
  <c r="D642" i="10"/>
  <c r="D628" i="10"/>
  <c r="D716" i="10"/>
  <c r="D643" i="10"/>
  <c r="D708" i="10"/>
  <c r="D680" i="10"/>
  <c r="D636" i="10"/>
  <c r="D676" i="10"/>
  <c r="D700" i="10"/>
  <c r="D627" i="10"/>
  <c r="D688" i="10"/>
  <c r="D632" i="10"/>
  <c r="D674" i="10"/>
  <c r="D623" i="10"/>
  <c r="D626" i="10"/>
  <c r="D629" i="10"/>
  <c r="D707" i="10"/>
  <c r="D668" i="10"/>
  <c r="D621" i="10"/>
  <c r="D702" i="10"/>
  <c r="D712" i="10"/>
  <c r="D687" i="10"/>
  <c r="D630" i="10"/>
  <c r="D617" i="10"/>
  <c r="D641" i="10"/>
  <c r="D704" i="10"/>
  <c r="D710" i="10"/>
  <c r="D622" i="10"/>
  <c r="D694" i="10"/>
  <c r="D639" i="10"/>
  <c r="D686" i="10"/>
  <c r="D678" i="10"/>
  <c r="D640" i="10"/>
  <c r="D638" i="10"/>
  <c r="D699" i="10"/>
  <c r="D692" i="10"/>
  <c r="D695" i="10"/>
  <c r="D696" i="10"/>
  <c r="G496" i="10"/>
  <c r="H496" i="10" s="1"/>
  <c r="D616" i="1"/>
  <c r="D624" i="1"/>
  <c r="D632" i="1"/>
  <c r="D640" i="1"/>
  <c r="D668" i="1"/>
  <c r="D677" i="1"/>
  <c r="D685" i="1"/>
  <c r="D693" i="1"/>
  <c r="D701" i="1"/>
  <c r="D709" i="1"/>
  <c r="D617" i="1"/>
  <c r="D625" i="1"/>
  <c r="D633" i="1"/>
  <c r="D641" i="1"/>
  <c r="D669" i="1"/>
  <c r="D678" i="1"/>
  <c r="D686" i="1"/>
  <c r="D694" i="1"/>
  <c r="D702" i="1"/>
  <c r="D710" i="1"/>
  <c r="D618" i="1"/>
  <c r="D626" i="1"/>
  <c r="D634" i="1"/>
  <c r="D642" i="1"/>
  <c r="D670" i="1"/>
  <c r="D679" i="1"/>
  <c r="D687" i="1"/>
  <c r="D695" i="1"/>
  <c r="D703" i="1"/>
  <c r="D711" i="1"/>
  <c r="D623" i="1"/>
  <c r="D637" i="1"/>
  <c r="D671" i="1"/>
  <c r="D683" i="1"/>
  <c r="D697" i="1"/>
  <c r="D708" i="1"/>
  <c r="D638" i="1"/>
  <c r="D684" i="1"/>
  <c r="D712" i="1"/>
  <c r="D674" i="1"/>
  <c r="D699" i="1"/>
  <c r="D705" i="1"/>
  <c r="D706" i="1"/>
  <c r="D627" i="1"/>
  <c r="D673" i="1"/>
  <c r="D698" i="1"/>
  <c r="D639" i="1"/>
  <c r="D713" i="1"/>
  <c r="D645" i="1"/>
  <c r="D646" i="1"/>
  <c r="D628" i="1"/>
  <c r="D688" i="1"/>
  <c r="D619" i="1"/>
  <c r="D676" i="1"/>
  <c r="D704" i="1"/>
  <c r="D620" i="1"/>
  <c r="D691" i="1"/>
  <c r="D621" i="1"/>
  <c r="D692" i="1"/>
  <c r="D672" i="1"/>
  <c r="D629" i="1"/>
  <c r="D643" i="1"/>
  <c r="D675" i="1"/>
  <c r="D689" i="1"/>
  <c r="D700" i="1"/>
  <c r="D716" i="1"/>
  <c r="D630" i="1"/>
  <c r="D644" i="1"/>
  <c r="D690" i="1"/>
  <c r="D631" i="1"/>
  <c r="D680" i="1"/>
  <c r="D635" i="1"/>
  <c r="D681" i="1"/>
  <c r="D647" i="1"/>
  <c r="D682" i="1"/>
  <c r="D707" i="1"/>
  <c r="D696" i="1"/>
  <c r="D622" i="1"/>
  <c r="D636" i="1"/>
  <c r="C716" i="1"/>
  <c r="I373" i="9"/>
  <c r="C441" i="10"/>
  <c r="E623" i="1" l="1"/>
  <c r="D715" i="1"/>
  <c r="E612" i="10"/>
  <c r="D715" i="10"/>
  <c r="E623" i="10"/>
  <c r="E612" i="1"/>
  <c r="E706" i="10" l="1"/>
  <c r="E702" i="10"/>
  <c r="E703" i="10"/>
  <c r="E678" i="10"/>
  <c r="E683" i="10"/>
  <c r="E638" i="10"/>
  <c r="E625" i="10"/>
  <c r="E631" i="10"/>
  <c r="E689" i="10"/>
  <c r="E698" i="10"/>
  <c r="E711" i="10"/>
  <c r="E699" i="10"/>
  <c r="E670" i="10"/>
  <c r="E675" i="10"/>
  <c r="E637" i="10"/>
  <c r="E690" i="10"/>
  <c r="E626" i="10"/>
  <c r="E673" i="10"/>
  <c r="E708" i="10"/>
  <c r="E707" i="10"/>
  <c r="E692" i="10"/>
  <c r="E647" i="10"/>
  <c r="E644" i="10"/>
  <c r="E636" i="10"/>
  <c r="E700" i="10"/>
  <c r="E693" i="10"/>
  <c r="E684" i="10"/>
  <c r="E646" i="10"/>
  <c r="E643" i="10"/>
  <c r="E635" i="10"/>
  <c r="E630" i="10"/>
  <c r="E694" i="10"/>
  <c r="E695" i="10"/>
  <c r="E709" i="10"/>
  <c r="E671" i="10"/>
  <c r="E712" i="10"/>
  <c r="E632" i="10"/>
  <c r="E685" i="10"/>
  <c r="E701" i="10"/>
  <c r="E716" i="10"/>
  <c r="E691" i="10"/>
  <c r="E677" i="10"/>
  <c r="E669" i="10"/>
  <c r="E713" i="10"/>
  <c r="E676" i="10"/>
  <c r="E642" i="10"/>
  <c r="E674" i="10"/>
  <c r="E624" i="10"/>
  <c r="E705" i="10"/>
  <c r="E668" i="10"/>
  <c r="E641" i="10"/>
  <c r="E681" i="10"/>
  <c r="E682" i="10"/>
  <c r="E697" i="10"/>
  <c r="E628" i="10"/>
  <c r="E640" i="10"/>
  <c r="E704" i="10"/>
  <c r="E627" i="10"/>
  <c r="E710" i="10"/>
  <c r="E686" i="10"/>
  <c r="E639" i="10"/>
  <c r="E688" i="10"/>
  <c r="E680" i="10"/>
  <c r="E687" i="10"/>
  <c r="E679" i="10"/>
  <c r="E645" i="10"/>
  <c r="E629" i="10"/>
  <c r="E634" i="10"/>
  <c r="E633" i="10"/>
  <c r="E672" i="10"/>
  <c r="E696" i="10"/>
  <c r="E716" i="1"/>
  <c r="E626" i="1"/>
  <c r="E698" i="1"/>
  <c r="E642" i="1"/>
  <c r="E630" i="1"/>
  <c r="E627" i="1"/>
  <c r="E706" i="1"/>
  <c r="E634" i="1"/>
  <c r="E692" i="1"/>
  <c r="E670" i="1"/>
  <c r="E682" i="1"/>
  <c r="E676" i="1"/>
  <c r="E712" i="1"/>
  <c r="E641" i="1"/>
  <c r="E669" i="1"/>
  <c r="E695" i="1"/>
  <c r="E691" i="1"/>
  <c r="E636" i="1"/>
  <c r="E684" i="1"/>
  <c r="E644" i="1"/>
  <c r="E674" i="1"/>
  <c r="E639" i="1"/>
  <c r="E686" i="1"/>
  <c r="E701" i="1"/>
  <c r="E625" i="1"/>
  <c r="E709" i="1"/>
  <c r="E637" i="1"/>
  <c r="E678" i="1"/>
  <c r="E713" i="1"/>
  <c r="E679" i="1"/>
  <c r="E693" i="1"/>
  <c r="E677" i="1"/>
  <c r="E638" i="1"/>
  <c r="E685" i="1"/>
  <c r="E624" i="1"/>
  <c r="E646" i="1"/>
  <c r="E675" i="1"/>
  <c r="E668" i="1"/>
  <c r="E633" i="1"/>
  <c r="E704" i="1"/>
  <c r="E708" i="1"/>
  <c r="E645" i="1"/>
  <c r="E702" i="1"/>
  <c r="E680" i="1"/>
  <c r="E640" i="1"/>
  <c r="E628" i="1"/>
  <c r="E694" i="1"/>
  <c r="E705" i="1"/>
  <c r="E635" i="1"/>
  <c r="E688" i="1"/>
  <c r="E629" i="1"/>
  <c r="E683" i="1"/>
  <c r="E671" i="1"/>
  <c r="E647" i="1"/>
  <c r="E697" i="1"/>
  <c r="E672" i="1"/>
  <c r="E700" i="1"/>
  <c r="E707" i="1"/>
  <c r="E699" i="1"/>
  <c r="E696" i="1"/>
  <c r="E711" i="1"/>
  <c r="E643" i="1"/>
  <c r="E631" i="1"/>
  <c r="E632" i="1"/>
  <c r="E681" i="1"/>
  <c r="E703" i="1"/>
  <c r="E687" i="1"/>
  <c r="E673" i="1"/>
  <c r="E710" i="1"/>
  <c r="E690" i="1"/>
  <c r="E689" i="1"/>
  <c r="E715" i="10" l="1"/>
  <c r="F624" i="10"/>
  <c r="F624" i="1"/>
  <c r="E715" i="1"/>
  <c r="F639" i="1" l="1"/>
  <c r="F690" i="1"/>
  <c r="F701" i="1"/>
  <c r="F692" i="1"/>
  <c r="F697" i="1"/>
  <c r="F710" i="1"/>
  <c r="F668" i="1"/>
  <c r="F702" i="1"/>
  <c r="F696" i="1"/>
  <c r="F704" i="1"/>
  <c r="F686" i="1"/>
  <c r="F629" i="1"/>
  <c r="F670" i="1"/>
  <c r="F694" i="1"/>
  <c r="F699" i="1"/>
  <c r="F682" i="1"/>
  <c r="F689" i="1"/>
  <c r="F669" i="1"/>
  <c r="F708" i="1"/>
  <c r="F675" i="1"/>
  <c r="F644" i="1"/>
  <c r="F685" i="1"/>
  <c r="F681" i="1"/>
  <c r="F684" i="1"/>
  <c r="F628" i="1"/>
  <c r="F703" i="1"/>
  <c r="F688" i="1"/>
  <c r="F630" i="1"/>
  <c r="F679" i="1"/>
  <c r="F687" i="1"/>
  <c r="F709" i="1"/>
  <c r="F635" i="1"/>
  <c r="F631" i="1"/>
  <c r="F691" i="1"/>
  <c r="F683" i="1"/>
  <c r="F637" i="1"/>
  <c r="F705" i="1"/>
  <c r="F698" i="1"/>
  <c r="F680" i="1"/>
  <c r="F645" i="1"/>
  <c r="F674" i="1"/>
  <c r="F647" i="1"/>
  <c r="F646" i="1"/>
  <c r="F700" i="1"/>
  <c r="F632" i="1"/>
  <c r="F677" i="1"/>
  <c r="F627" i="1"/>
  <c r="F633" i="1"/>
  <c r="F707" i="1"/>
  <c r="F712" i="1"/>
  <c r="F695" i="1"/>
  <c r="F716" i="1"/>
  <c r="F711" i="1"/>
  <c r="F641" i="1"/>
  <c r="F640" i="1"/>
  <c r="F673" i="1"/>
  <c r="F671" i="1"/>
  <c r="F625" i="1"/>
  <c r="F638" i="1"/>
  <c r="F634" i="1"/>
  <c r="F693" i="1"/>
  <c r="F672" i="1"/>
  <c r="F643" i="1"/>
  <c r="F642" i="1"/>
  <c r="F636" i="1"/>
  <c r="F713" i="1"/>
  <c r="F706" i="1"/>
  <c r="F626" i="1"/>
  <c r="F678" i="1"/>
  <c r="F676" i="1"/>
  <c r="F698" i="10"/>
  <c r="F702" i="10"/>
  <c r="F668" i="10"/>
  <c r="F675" i="10"/>
  <c r="F637" i="10"/>
  <c r="F708" i="10"/>
  <c r="F687" i="10"/>
  <c r="F685" i="10"/>
  <c r="F645" i="10"/>
  <c r="F711" i="10"/>
  <c r="F716" i="10"/>
  <c r="F701" i="10"/>
  <c r="F644" i="10"/>
  <c r="F636" i="10"/>
  <c r="F704" i="10"/>
  <c r="F671" i="10"/>
  <c r="F669" i="10"/>
  <c r="F629" i="10"/>
  <c r="F695" i="10"/>
  <c r="F699" i="10"/>
  <c r="F681" i="10"/>
  <c r="F642" i="10"/>
  <c r="F634" i="10"/>
  <c r="F680" i="10"/>
  <c r="F646" i="10"/>
  <c r="F682" i="10"/>
  <c r="F625" i="10"/>
  <c r="F706" i="10"/>
  <c r="F692" i="10"/>
  <c r="F643" i="10"/>
  <c r="F631" i="10"/>
  <c r="F626" i="10"/>
  <c r="F647" i="10"/>
  <c r="F703" i="10"/>
  <c r="F684" i="10"/>
  <c r="F641" i="10"/>
  <c r="F630" i="10"/>
  <c r="F700" i="10"/>
  <c r="F627" i="10"/>
  <c r="F713" i="10"/>
  <c r="F676" i="10"/>
  <c r="F640" i="10"/>
  <c r="F688" i="10"/>
  <c r="F696" i="10"/>
  <c r="F677" i="10"/>
  <c r="F705" i="10"/>
  <c r="F689" i="10"/>
  <c r="F639" i="10"/>
  <c r="F672" i="10"/>
  <c r="F694" i="10"/>
  <c r="F697" i="10"/>
  <c r="F673" i="10"/>
  <c r="F638" i="10"/>
  <c r="F690" i="10"/>
  <c r="F628" i="10"/>
  <c r="F710" i="10"/>
  <c r="F712" i="10"/>
  <c r="F635" i="10"/>
  <c r="F674" i="10"/>
  <c r="F693" i="10"/>
  <c r="F678" i="10"/>
  <c r="F707" i="10"/>
  <c r="F679" i="10"/>
  <c r="F709" i="10"/>
  <c r="F686" i="10"/>
  <c r="F691" i="10"/>
  <c r="F670" i="10"/>
  <c r="F683" i="10"/>
  <c r="F633" i="10"/>
  <c r="F632" i="10"/>
  <c r="F715" i="1" l="1"/>
  <c r="G625" i="1"/>
  <c r="F715" i="10"/>
  <c r="G625" i="10"/>
  <c r="G695" i="1" l="1"/>
  <c r="G645" i="1"/>
  <c r="G631" i="1"/>
  <c r="G685" i="1"/>
  <c r="G629" i="1"/>
  <c r="G689" i="1"/>
  <c r="G632" i="1"/>
  <c r="G647" i="1"/>
  <c r="G704" i="1"/>
  <c r="G630" i="1"/>
  <c r="G671" i="1"/>
  <c r="G712" i="1"/>
  <c r="G633" i="1"/>
  <c r="G678" i="1"/>
  <c r="G705" i="1"/>
  <c r="G696" i="1"/>
  <c r="G708" i="1"/>
  <c r="G675" i="1"/>
  <c r="G688" i="1"/>
  <c r="G709" i="1"/>
  <c r="G634" i="1"/>
  <c r="G702" i="1"/>
  <c r="G692" i="1"/>
  <c r="G640" i="1"/>
  <c r="G672" i="1"/>
  <c r="G683" i="1"/>
  <c r="G700" i="1"/>
  <c r="G706" i="1"/>
  <c r="G690" i="1"/>
  <c r="G669" i="1"/>
  <c r="G701" i="1"/>
  <c r="G646" i="1"/>
  <c r="G636" i="1"/>
  <c r="G686" i="1"/>
  <c r="G707" i="1"/>
  <c r="G716" i="1"/>
  <c r="G693" i="1"/>
  <c r="G697" i="1"/>
  <c r="G710" i="1"/>
  <c r="G679" i="1"/>
  <c r="G682" i="1"/>
  <c r="G691" i="1"/>
  <c r="G642" i="1"/>
  <c r="G626" i="1"/>
  <c r="G676" i="1"/>
  <c r="G703" i="1"/>
  <c r="G638" i="1"/>
  <c r="G637" i="1"/>
  <c r="G677" i="1"/>
  <c r="G668" i="1"/>
  <c r="G681" i="1"/>
  <c r="G699" i="1"/>
  <c r="G684" i="1"/>
  <c r="G713" i="1"/>
  <c r="G673" i="1"/>
  <c r="G635" i="1"/>
  <c r="G628" i="1"/>
  <c r="G644" i="1"/>
  <c r="G687" i="1"/>
  <c r="G674" i="1"/>
  <c r="G670" i="1"/>
  <c r="G643" i="1"/>
  <c r="G698" i="1"/>
  <c r="G680" i="1"/>
  <c r="G711" i="1"/>
  <c r="G694" i="1"/>
  <c r="G641" i="1"/>
  <c r="G627" i="1"/>
  <c r="G639" i="1"/>
  <c r="G703" i="10"/>
  <c r="G699" i="10"/>
  <c r="G673" i="10"/>
  <c r="G629" i="10"/>
  <c r="G685" i="10"/>
  <c r="G708" i="10"/>
  <c r="G712" i="10"/>
  <c r="G697" i="10"/>
  <c r="G626" i="10"/>
  <c r="G710" i="10"/>
  <c r="G689" i="10"/>
  <c r="G688" i="10"/>
  <c r="G693" i="10"/>
  <c r="G668" i="10"/>
  <c r="G631" i="10"/>
  <c r="G627" i="10"/>
  <c r="G698" i="10"/>
  <c r="G702" i="10"/>
  <c r="G681" i="10"/>
  <c r="G680" i="10"/>
  <c r="G687" i="10"/>
  <c r="G691" i="10"/>
  <c r="G628" i="10"/>
  <c r="G683" i="10"/>
  <c r="G690" i="10"/>
  <c r="G716" i="10"/>
  <c r="G686" i="10"/>
  <c r="G672" i="10"/>
  <c r="G671" i="10"/>
  <c r="G675" i="10"/>
  <c r="G643" i="10"/>
  <c r="G707" i="10"/>
  <c r="G678" i="10"/>
  <c r="G706" i="10"/>
  <c r="G633" i="10"/>
  <c r="G644" i="10"/>
  <c r="G682" i="10"/>
  <c r="G641" i="10"/>
  <c r="G704" i="10"/>
  <c r="G670" i="10"/>
  <c r="G695" i="10"/>
  <c r="G630" i="10"/>
  <c r="G642" i="10"/>
  <c r="G634" i="10"/>
  <c r="G639" i="10"/>
  <c r="G696" i="10"/>
  <c r="G669" i="10"/>
  <c r="G676" i="10"/>
  <c r="G705" i="10"/>
  <c r="G713" i="10"/>
  <c r="G632" i="10"/>
  <c r="G701" i="10"/>
  <c r="G709" i="10"/>
  <c r="G637" i="10"/>
  <c r="G647" i="10"/>
  <c r="G684" i="10"/>
  <c r="G635" i="10"/>
  <c r="G646" i="10"/>
  <c r="G640" i="10"/>
  <c r="G674" i="10"/>
  <c r="G711" i="10"/>
  <c r="G645" i="10"/>
  <c r="G638" i="10"/>
  <c r="G636" i="10"/>
  <c r="G679" i="10"/>
  <c r="G692" i="10"/>
  <c r="G700" i="10"/>
  <c r="G694" i="10"/>
  <c r="G677" i="10"/>
  <c r="G715" i="10" l="1"/>
  <c r="H628" i="10"/>
  <c r="G715" i="1"/>
  <c r="H628" i="1"/>
  <c r="H707" i="10" l="1"/>
  <c r="H686" i="10"/>
  <c r="H675" i="10"/>
  <c r="H637" i="10"/>
  <c r="H710" i="10"/>
  <c r="H698" i="10"/>
  <c r="H672" i="10"/>
  <c r="H680" i="10"/>
  <c r="H699" i="10"/>
  <c r="H678" i="10"/>
  <c r="H644" i="10"/>
  <c r="H636" i="10"/>
  <c r="H706" i="10"/>
  <c r="H690" i="10"/>
  <c r="H679" i="10"/>
  <c r="H687" i="10"/>
  <c r="H708" i="10"/>
  <c r="H712" i="10"/>
  <c r="H670" i="10"/>
  <c r="H643" i="10"/>
  <c r="H635" i="10"/>
  <c r="H695" i="10"/>
  <c r="H682" i="10"/>
  <c r="H676" i="10"/>
  <c r="H671" i="10"/>
  <c r="H700" i="10"/>
  <c r="H704" i="10"/>
  <c r="H647" i="10"/>
  <c r="H642" i="10"/>
  <c r="H634" i="10"/>
  <c r="H694" i="10"/>
  <c r="H674" i="10"/>
  <c r="H711" i="10"/>
  <c r="H693" i="10"/>
  <c r="H713" i="10"/>
  <c r="H696" i="10"/>
  <c r="H646" i="10"/>
  <c r="H641" i="10"/>
  <c r="H633" i="10"/>
  <c r="H685" i="10"/>
  <c r="H684" i="10"/>
  <c r="H692" i="10"/>
  <c r="H709" i="10"/>
  <c r="H638" i="10"/>
  <c r="H681" i="10"/>
  <c r="H701" i="10"/>
  <c r="H632" i="10"/>
  <c r="H688" i="10"/>
  <c r="H703" i="10"/>
  <c r="H631" i="10"/>
  <c r="H689" i="10"/>
  <c r="H645" i="10"/>
  <c r="H630" i="10"/>
  <c r="H673" i="10"/>
  <c r="H691" i="10"/>
  <c r="H677" i="10"/>
  <c r="H629" i="10"/>
  <c r="H705" i="10"/>
  <c r="H683" i="10"/>
  <c r="H669" i="10"/>
  <c r="H697" i="10"/>
  <c r="H716" i="10"/>
  <c r="H639" i="10"/>
  <c r="H640" i="10"/>
  <c r="H702" i="10"/>
  <c r="H668" i="10"/>
  <c r="H711" i="1"/>
  <c r="H632" i="1"/>
  <c r="H681" i="1"/>
  <c r="H631" i="1"/>
  <c r="H643" i="1"/>
  <c r="H691" i="1"/>
  <c r="H672" i="1"/>
  <c r="H680" i="1"/>
  <c r="H682" i="1"/>
  <c r="H713" i="1"/>
  <c r="H668" i="1"/>
  <c r="H692" i="1"/>
  <c r="H670" i="1"/>
  <c r="H693" i="1"/>
  <c r="H701" i="1"/>
  <c r="H687" i="1"/>
  <c r="H685" i="1"/>
  <c r="H705" i="1"/>
  <c r="H630" i="1"/>
  <c r="H707" i="1"/>
  <c r="H712" i="1"/>
  <c r="H690" i="1"/>
  <c r="H637" i="1"/>
  <c r="H694" i="1"/>
  <c r="H635" i="1"/>
  <c r="H645" i="1"/>
  <c r="H633" i="1"/>
  <c r="H716" i="1"/>
  <c r="H688" i="1"/>
  <c r="H695" i="1"/>
  <c r="H677" i="1"/>
  <c r="H641" i="1"/>
  <c r="H636" i="1"/>
  <c r="H675" i="1"/>
  <c r="H676" i="1"/>
  <c r="H684" i="1"/>
  <c r="H671" i="1"/>
  <c r="H697" i="1"/>
  <c r="H669" i="1"/>
  <c r="H686" i="1"/>
  <c r="H700" i="1"/>
  <c r="H704" i="1"/>
  <c r="H642" i="1"/>
  <c r="H703" i="1"/>
  <c r="H639" i="1"/>
  <c r="H696" i="1"/>
  <c r="H629" i="1"/>
  <c r="I629" i="1" s="1"/>
  <c r="H647" i="1"/>
  <c r="H640" i="1"/>
  <c r="H679" i="1"/>
  <c r="H709" i="1"/>
  <c r="H706" i="1"/>
  <c r="H689" i="1"/>
  <c r="H674" i="1"/>
  <c r="H678" i="1"/>
  <c r="H683" i="1"/>
  <c r="H644" i="1"/>
  <c r="H699" i="1"/>
  <c r="H698" i="1"/>
  <c r="H710" i="1"/>
  <c r="H638" i="1"/>
  <c r="H646" i="1"/>
  <c r="H708" i="1"/>
  <c r="H673" i="1"/>
  <c r="H634" i="1"/>
  <c r="H702" i="1"/>
  <c r="I692" i="1" l="1"/>
  <c r="I689" i="1"/>
  <c r="I635" i="1"/>
  <c r="I706" i="1"/>
  <c r="I639" i="1"/>
  <c r="I682" i="1"/>
  <c r="I703" i="1"/>
  <c r="I708" i="1"/>
  <c r="I633" i="1"/>
  <c r="I694" i="1"/>
  <c r="I680" i="1"/>
  <c r="I646" i="1"/>
  <c r="I679" i="1"/>
  <c r="I641" i="1"/>
  <c r="I681" i="1"/>
  <c r="I637" i="1"/>
  <c r="I713" i="1"/>
  <c r="I683" i="1"/>
  <c r="I699" i="1"/>
  <c r="I647" i="1"/>
  <c r="I638" i="1"/>
  <c r="I710" i="1"/>
  <c r="I690" i="1"/>
  <c r="I693" i="1"/>
  <c r="I711" i="1"/>
  <c r="I705" i="1"/>
  <c r="I716" i="1"/>
  <c r="I686" i="1"/>
  <c r="I670" i="1"/>
  <c r="I697" i="1"/>
  <c r="I678" i="1"/>
  <c r="I696" i="1"/>
  <c r="I632" i="1"/>
  <c r="I645" i="1"/>
  <c r="I672" i="1"/>
  <c r="I688" i="1"/>
  <c r="I702" i="1"/>
  <c r="I712" i="1"/>
  <c r="I642" i="1"/>
  <c r="I636" i="1"/>
  <c r="I700" i="1"/>
  <c r="I676" i="1"/>
  <c r="I674" i="1"/>
  <c r="I673" i="1"/>
  <c r="I698" i="1"/>
  <c r="I669" i="1"/>
  <c r="I631" i="1"/>
  <c r="I671" i="1"/>
  <c r="I707" i="1"/>
  <c r="I684" i="1"/>
  <c r="I644" i="1"/>
  <c r="I675" i="1"/>
  <c r="I709" i="1"/>
  <c r="I701" i="1"/>
  <c r="I695" i="1"/>
  <c r="I687" i="1"/>
  <c r="I643" i="1"/>
  <c r="I630" i="1"/>
  <c r="I640" i="1"/>
  <c r="I677" i="1"/>
  <c r="I668" i="1"/>
  <c r="I634" i="1"/>
  <c r="I685" i="1"/>
  <c r="I691" i="1"/>
  <c r="I704" i="1"/>
  <c r="H715" i="1"/>
  <c r="H715" i="10"/>
  <c r="I629" i="10"/>
  <c r="I715" i="1" l="1"/>
  <c r="J630" i="1"/>
  <c r="I705" i="10"/>
  <c r="I696" i="10"/>
  <c r="I675" i="10"/>
  <c r="I637" i="10"/>
  <c r="I682" i="10"/>
  <c r="I678" i="10"/>
  <c r="I692" i="10"/>
  <c r="I647" i="10"/>
  <c r="I697" i="10"/>
  <c r="I709" i="10"/>
  <c r="I644" i="10"/>
  <c r="I636" i="10"/>
  <c r="I674" i="10"/>
  <c r="I646" i="10"/>
  <c r="I689" i="10"/>
  <c r="I645" i="10"/>
  <c r="I710" i="10"/>
  <c r="I701" i="10"/>
  <c r="I643" i="10"/>
  <c r="I635" i="10"/>
  <c r="I700" i="10"/>
  <c r="I631" i="10"/>
  <c r="I673" i="10"/>
  <c r="I695" i="10"/>
  <c r="I702" i="10"/>
  <c r="I706" i="10"/>
  <c r="I642" i="10"/>
  <c r="I688" i="10"/>
  <c r="I693" i="10"/>
  <c r="I685" i="10"/>
  <c r="I632" i="10"/>
  <c r="I677" i="10"/>
  <c r="I694" i="10"/>
  <c r="I698" i="10"/>
  <c r="I641" i="10"/>
  <c r="I680" i="10"/>
  <c r="I687" i="10"/>
  <c r="I669" i="10"/>
  <c r="I707" i="10"/>
  <c r="I684" i="10"/>
  <c r="I716" i="10"/>
  <c r="I638" i="10"/>
  <c r="I676" i="10"/>
  <c r="I712" i="10"/>
  <c r="I672" i="10"/>
  <c r="I711" i="10"/>
  <c r="I704" i="10"/>
  <c r="I708" i="10"/>
  <c r="I703" i="10"/>
  <c r="I699" i="10"/>
  <c r="I690" i="10"/>
  <c r="I686" i="10"/>
  <c r="I691" i="10"/>
  <c r="I679" i="10"/>
  <c r="I670" i="10"/>
  <c r="I683" i="10"/>
  <c r="I671" i="10"/>
  <c r="I668" i="10"/>
  <c r="I713" i="10"/>
  <c r="I640" i="10"/>
  <c r="I639" i="10"/>
  <c r="I634" i="10"/>
  <c r="I681" i="10"/>
  <c r="I633" i="10"/>
  <c r="I630" i="10"/>
  <c r="J713" i="1" l="1"/>
  <c r="J635" i="1"/>
  <c r="J681" i="1"/>
  <c r="J682" i="1"/>
  <c r="J631" i="1"/>
  <c r="J678" i="1"/>
  <c r="J710" i="1"/>
  <c r="J647" i="1"/>
  <c r="J709" i="1"/>
  <c r="J677" i="1"/>
  <c r="J679" i="1"/>
  <c r="J690" i="1"/>
  <c r="J689" i="1"/>
  <c r="J708" i="1"/>
  <c r="J704" i="1"/>
  <c r="J640" i="1"/>
  <c r="J673" i="1"/>
  <c r="J676" i="1"/>
  <c r="J685" i="1"/>
  <c r="J693" i="1"/>
  <c r="J692" i="1"/>
  <c r="J641" i="1"/>
  <c r="J639" i="1"/>
  <c r="J716" i="1"/>
  <c r="J680" i="1"/>
  <c r="J699" i="1"/>
  <c r="J669" i="1"/>
  <c r="J691" i="1"/>
  <c r="J700" i="1"/>
  <c r="J694" i="1"/>
  <c r="J646" i="1"/>
  <c r="J696" i="1"/>
  <c r="J686" i="1"/>
  <c r="J683" i="1"/>
  <c r="J701" i="1"/>
  <c r="J642" i="1"/>
  <c r="J636" i="1"/>
  <c r="J671" i="1"/>
  <c r="J711" i="1"/>
  <c r="J702" i="1"/>
  <c r="J684" i="1"/>
  <c r="J634" i="1"/>
  <c r="J637" i="1"/>
  <c r="J633" i="1"/>
  <c r="J695" i="1"/>
  <c r="J672" i="1"/>
  <c r="J698" i="1"/>
  <c r="J645" i="1"/>
  <c r="J670" i="1"/>
  <c r="J703" i="1"/>
  <c r="J644" i="1"/>
  <c r="J706" i="1"/>
  <c r="J688" i="1"/>
  <c r="J632" i="1"/>
  <c r="J638" i="1"/>
  <c r="J712" i="1"/>
  <c r="J675" i="1"/>
  <c r="J705" i="1"/>
  <c r="J643" i="1"/>
  <c r="J687" i="1"/>
  <c r="J707" i="1"/>
  <c r="J668" i="1"/>
  <c r="J697" i="1"/>
  <c r="J674" i="1"/>
  <c r="I715" i="10"/>
  <c r="J630" i="10"/>
  <c r="J715" i="1" l="1"/>
  <c r="L647" i="1"/>
  <c r="K644" i="1"/>
  <c r="J701" i="10"/>
  <c r="J672" i="10"/>
  <c r="J687" i="10"/>
  <c r="J678" i="10"/>
  <c r="J640" i="10"/>
  <c r="J692" i="10"/>
  <c r="J683" i="10"/>
  <c r="J633" i="10"/>
  <c r="J706" i="10"/>
  <c r="J695" i="10"/>
  <c r="J679" i="10"/>
  <c r="J646" i="10"/>
  <c r="J638" i="10"/>
  <c r="J689" i="10"/>
  <c r="J643" i="10"/>
  <c r="J681" i="10"/>
  <c r="J710" i="10"/>
  <c r="J698" i="10"/>
  <c r="J685" i="10"/>
  <c r="J671" i="10"/>
  <c r="J631" i="10"/>
  <c r="J636" i="10"/>
  <c r="J673" i="10"/>
  <c r="J641" i="10"/>
  <c r="J702" i="10"/>
  <c r="J711" i="10"/>
  <c r="J677" i="10"/>
  <c r="J696" i="10"/>
  <c r="J705" i="10"/>
  <c r="J634" i="10"/>
  <c r="J632" i="10"/>
  <c r="J639" i="10"/>
  <c r="J716" i="10"/>
  <c r="J703" i="10"/>
  <c r="J669" i="10"/>
  <c r="J684" i="10"/>
  <c r="J691" i="10"/>
  <c r="J712" i="10"/>
  <c r="J686" i="10"/>
  <c r="J637" i="10"/>
  <c r="J707" i="10"/>
  <c r="J693" i="10"/>
  <c r="J694" i="10"/>
  <c r="J699" i="10"/>
  <c r="J676" i="10"/>
  <c r="J682" i="10"/>
  <c r="J709" i="10"/>
  <c r="J668" i="10"/>
  <c r="J670" i="10"/>
  <c r="J697" i="10"/>
  <c r="J713" i="10"/>
  <c r="J647" i="10"/>
  <c r="J688" i="10"/>
  <c r="J675" i="10"/>
  <c r="J645" i="10"/>
  <c r="J680" i="10"/>
  <c r="J644" i="10"/>
  <c r="J635" i="10"/>
  <c r="J704" i="10"/>
  <c r="J700" i="10"/>
  <c r="J642" i="10"/>
  <c r="J708" i="10"/>
  <c r="J674" i="10"/>
  <c r="J690" i="10"/>
  <c r="L676" i="1" l="1"/>
  <c r="L694" i="1"/>
  <c r="L689" i="1"/>
  <c r="L686" i="1"/>
  <c r="L701" i="1"/>
  <c r="L681" i="1"/>
  <c r="L673" i="1"/>
  <c r="M673" i="1" s="1"/>
  <c r="L668" i="1"/>
  <c r="L682" i="1"/>
  <c r="L684" i="1"/>
  <c r="L695" i="1"/>
  <c r="L677" i="1"/>
  <c r="L716" i="1"/>
  <c r="L669" i="1"/>
  <c r="L702" i="1"/>
  <c r="M702" i="1" s="1"/>
  <c r="L700" i="1"/>
  <c r="L697" i="1"/>
  <c r="L688" i="1"/>
  <c r="L690" i="1"/>
  <c r="L712" i="1"/>
  <c r="L706" i="1"/>
  <c r="L670" i="1"/>
  <c r="L679" i="1"/>
  <c r="L685" i="1"/>
  <c r="L680" i="1"/>
  <c r="L699" i="1"/>
  <c r="L704" i="1"/>
  <c r="L672" i="1"/>
  <c r="L678" i="1"/>
  <c r="L687" i="1"/>
  <c r="L683" i="1"/>
  <c r="L696" i="1"/>
  <c r="L707" i="1"/>
  <c r="L709" i="1"/>
  <c r="L674" i="1"/>
  <c r="L713" i="1"/>
  <c r="L705" i="1"/>
  <c r="L693" i="1"/>
  <c r="L703" i="1"/>
  <c r="L698" i="1"/>
  <c r="M698" i="1" s="1"/>
  <c r="L675" i="1"/>
  <c r="L710" i="1"/>
  <c r="L692" i="1"/>
  <c r="L691" i="1"/>
  <c r="L711" i="1"/>
  <c r="L708" i="1"/>
  <c r="L671" i="1"/>
  <c r="M671" i="1" s="1"/>
  <c r="K690" i="1"/>
  <c r="K696" i="1"/>
  <c r="K670" i="1"/>
  <c r="K673" i="1"/>
  <c r="K704" i="1"/>
  <c r="K671" i="1"/>
  <c r="K707" i="1"/>
  <c r="K683" i="1"/>
  <c r="K710" i="1"/>
  <c r="K692" i="1"/>
  <c r="K700" i="1"/>
  <c r="K716" i="1"/>
  <c r="K691" i="1"/>
  <c r="K678" i="1"/>
  <c r="K711" i="1"/>
  <c r="K668" i="1"/>
  <c r="K708" i="1"/>
  <c r="K681" i="1"/>
  <c r="K703" i="1"/>
  <c r="K672" i="1"/>
  <c r="K677" i="1"/>
  <c r="K686" i="1"/>
  <c r="K689" i="1"/>
  <c r="K669" i="1"/>
  <c r="K709" i="1"/>
  <c r="K679" i="1"/>
  <c r="K682" i="1"/>
  <c r="K697" i="1"/>
  <c r="K698" i="1"/>
  <c r="K687" i="1"/>
  <c r="K680" i="1"/>
  <c r="K685" i="1"/>
  <c r="K713" i="1"/>
  <c r="K693" i="1"/>
  <c r="K684" i="1"/>
  <c r="K701" i="1"/>
  <c r="K699" i="1"/>
  <c r="K675" i="1"/>
  <c r="K706" i="1"/>
  <c r="K674" i="1"/>
  <c r="K705" i="1"/>
  <c r="K712" i="1"/>
  <c r="K695" i="1"/>
  <c r="K702" i="1"/>
  <c r="K676" i="1"/>
  <c r="K694" i="1"/>
  <c r="K688" i="1"/>
  <c r="J715" i="10"/>
  <c r="L647" i="10"/>
  <c r="K644" i="10"/>
  <c r="M675" i="1" l="1"/>
  <c r="M707" i="1"/>
  <c r="M680" i="1"/>
  <c r="M697" i="1"/>
  <c r="M676" i="1"/>
  <c r="D55" i="9" s="1"/>
  <c r="M682" i="1"/>
  <c r="C87" i="9" s="1"/>
  <c r="M685" i="1"/>
  <c r="M700" i="1"/>
  <c r="M670" i="1"/>
  <c r="M672" i="1"/>
  <c r="G23" i="9" s="1"/>
  <c r="M703" i="1"/>
  <c r="C183" i="9" s="1"/>
  <c r="G183" i="9"/>
  <c r="G151" i="9"/>
  <c r="M679" i="1"/>
  <c r="M708" i="1"/>
  <c r="M693" i="1"/>
  <c r="M687" i="1"/>
  <c r="E23" i="9"/>
  <c r="M669" i="1"/>
  <c r="M681" i="1"/>
  <c r="D151" i="9"/>
  <c r="E151" i="9"/>
  <c r="I151" i="9"/>
  <c r="M711" i="1"/>
  <c r="M705" i="1"/>
  <c r="M678" i="1"/>
  <c r="M706" i="1"/>
  <c r="M701" i="1"/>
  <c r="H55" i="9"/>
  <c r="K715" i="1"/>
  <c r="M683" i="1"/>
  <c r="M677" i="1"/>
  <c r="M692" i="1"/>
  <c r="M674" i="1"/>
  <c r="M704" i="1"/>
  <c r="M690" i="1"/>
  <c r="M695" i="1"/>
  <c r="M689" i="1"/>
  <c r="C55" i="9"/>
  <c r="M696" i="1"/>
  <c r="L715" i="1"/>
  <c r="M668" i="1"/>
  <c r="F23" i="9"/>
  <c r="H23" i="9"/>
  <c r="M691" i="1"/>
  <c r="M713" i="1"/>
  <c r="M712" i="1"/>
  <c r="M686" i="1"/>
  <c r="M710" i="1"/>
  <c r="M709" i="1"/>
  <c r="M699" i="1"/>
  <c r="M688" i="1"/>
  <c r="M684" i="1"/>
  <c r="M694" i="1"/>
  <c r="L696" i="10"/>
  <c r="L711" i="10"/>
  <c r="L716" i="10"/>
  <c r="L674" i="10"/>
  <c r="L692" i="10"/>
  <c r="L670" i="10"/>
  <c r="L677" i="10"/>
  <c r="L709" i="10"/>
  <c r="M709" i="10" s="1"/>
  <c r="Y775" i="10" s="1"/>
  <c r="L708" i="10"/>
  <c r="L694" i="10"/>
  <c r="L679" i="10"/>
  <c r="L673" i="10"/>
  <c r="L685" i="10"/>
  <c r="L701" i="10"/>
  <c r="L700" i="10"/>
  <c r="M700" i="10" s="1"/>
  <c r="Y766" i="10" s="1"/>
  <c r="L669" i="10"/>
  <c r="M669" i="10" s="1"/>
  <c r="Y735" i="10" s="1"/>
  <c r="L703" i="10"/>
  <c r="L713" i="10"/>
  <c r="L710" i="10"/>
  <c r="L712" i="10"/>
  <c r="L705" i="10"/>
  <c r="L690" i="10"/>
  <c r="L671" i="10"/>
  <c r="M671" i="10" s="1"/>
  <c r="Y737" i="10" s="1"/>
  <c r="L686" i="10"/>
  <c r="L682" i="10"/>
  <c r="L689" i="10"/>
  <c r="L688" i="10"/>
  <c r="L706" i="10"/>
  <c r="L695" i="10"/>
  <c r="L680" i="10"/>
  <c r="L687" i="10"/>
  <c r="M687" i="10" s="1"/>
  <c r="Y753" i="10" s="1"/>
  <c r="L681" i="10"/>
  <c r="M681" i="10" s="1"/>
  <c r="Y747" i="10" s="1"/>
  <c r="L672" i="10"/>
  <c r="L702" i="10"/>
  <c r="L697" i="10"/>
  <c r="L699" i="10"/>
  <c r="L704" i="10"/>
  <c r="M704" i="10" s="1"/>
  <c r="Y770" i="10" s="1"/>
  <c r="L676" i="10"/>
  <c r="L684" i="10"/>
  <c r="M684" i="10" s="1"/>
  <c r="Y750" i="10" s="1"/>
  <c r="L693" i="10"/>
  <c r="M693" i="10" s="1"/>
  <c r="Y759" i="10" s="1"/>
  <c r="L678" i="10"/>
  <c r="L668" i="10"/>
  <c r="L683" i="10"/>
  <c r="L707" i="10"/>
  <c r="L698" i="10"/>
  <c r="L675" i="10"/>
  <c r="L691" i="10"/>
  <c r="M691" i="10" s="1"/>
  <c r="Y757" i="10" s="1"/>
  <c r="K712" i="10"/>
  <c r="K700" i="10"/>
  <c r="K674" i="10"/>
  <c r="K673" i="10"/>
  <c r="K672" i="10"/>
  <c r="K687" i="10"/>
  <c r="K704" i="10"/>
  <c r="K695" i="10"/>
  <c r="K702" i="10"/>
  <c r="K709" i="10"/>
  <c r="K679" i="10"/>
  <c r="K671" i="10"/>
  <c r="K696" i="10"/>
  <c r="K685" i="10"/>
  <c r="K684" i="10"/>
  <c r="K705" i="10"/>
  <c r="K686" i="10"/>
  <c r="K713" i="10"/>
  <c r="K706" i="10"/>
  <c r="K677" i="10"/>
  <c r="K676" i="10"/>
  <c r="K691" i="10"/>
  <c r="K670" i="10"/>
  <c r="K678" i="10"/>
  <c r="K698" i="10"/>
  <c r="K669" i="10"/>
  <c r="K668" i="10"/>
  <c r="K675" i="10"/>
  <c r="K683" i="10"/>
  <c r="K716" i="10"/>
  <c r="K682" i="10"/>
  <c r="K710" i="10"/>
  <c r="K707" i="10"/>
  <c r="K692" i="10"/>
  <c r="K693" i="10"/>
  <c r="K699" i="10"/>
  <c r="K689" i="10"/>
  <c r="K711" i="10"/>
  <c r="K681" i="10"/>
  <c r="K703" i="10"/>
  <c r="K701" i="10"/>
  <c r="K708" i="10"/>
  <c r="K697" i="10"/>
  <c r="K688" i="10"/>
  <c r="K680" i="10"/>
  <c r="K694" i="10"/>
  <c r="K690" i="10"/>
  <c r="F87" i="9" l="1"/>
  <c r="F55" i="9"/>
  <c r="E215" i="9"/>
  <c r="D119" i="9"/>
  <c r="E183" i="9"/>
  <c r="I55" i="9"/>
  <c r="I119" i="9"/>
  <c r="G55" i="9"/>
  <c r="C151" i="9"/>
  <c r="D23" i="9"/>
  <c r="E119" i="9"/>
  <c r="I23" i="9"/>
  <c r="I87" i="9"/>
  <c r="F119" i="9"/>
  <c r="C23" i="9"/>
  <c r="M715" i="1"/>
  <c r="F215" i="9"/>
  <c r="D215" i="9"/>
  <c r="E87" i="9"/>
  <c r="H87" i="9"/>
  <c r="I183" i="9"/>
  <c r="H151" i="9"/>
  <c r="G119" i="9"/>
  <c r="G87" i="9"/>
  <c r="D87" i="9"/>
  <c r="H119" i="9"/>
  <c r="D183" i="9"/>
  <c r="F151" i="9"/>
  <c r="E55" i="9"/>
  <c r="C215" i="9"/>
  <c r="C119" i="9"/>
  <c r="F183" i="9"/>
  <c r="H183" i="9"/>
  <c r="M677" i="10"/>
  <c r="Y743" i="10" s="1"/>
  <c r="M675" i="10"/>
  <c r="Y741" i="10" s="1"/>
  <c r="M676" i="10"/>
  <c r="Y742" i="10" s="1"/>
  <c r="M680" i="10"/>
  <c r="Y746" i="10" s="1"/>
  <c r="M690" i="10"/>
  <c r="Y756" i="10" s="1"/>
  <c r="M701" i="10"/>
  <c r="Y767" i="10" s="1"/>
  <c r="M670" i="10"/>
  <c r="Y736" i="10" s="1"/>
  <c r="M695" i="10"/>
  <c r="Y761" i="10" s="1"/>
  <c r="M705" i="10"/>
  <c r="Y771" i="10" s="1"/>
  <c r="M685" i="10"/>
  <c r="Y751" i="10" s="1"/>
  <c r="M692" i="10"/>
  <c r="Y758" i="10" s="1"/>
  <c r="M686" i="10"/>
  <c r="Y752" i="10" s="1"/>
  <c r="M707" i="10"/>
  <c r="Y773" i="10" s="1"/>
  <c r="M699" i="10"/>
  <c r="Y765" i="10" s="1"/>
  <c r="M706" i="10"/>
  <c r="Y772" i="10" s="1"/>
  <c r="M712" i="10"/>
  <c r="Y778" i="10" s="1"/>
  <c r="M673" i="10"/>
  <c r="Y739" i="10" s="1"/>
  <c r="M674" i="10"/>
  <c r="Y740" i="10" s="1"/>
  <c r="M683" i="10"/>
  <c r="Y749" i="10" s="1"/>
  <c r="M697" i="10"/>
  <c r="Y763" i="10" s="1"/>
  <c r="M688" i="10"/>
  <c r="Y754" i="10" s="1"/>
  <c r="M710" i="10"/>
  <c r="Y776" i="10" s="1"/>
  <c r="M679" i="10"/>
  <c r="Y745" i="10" s="1"/>
  <c r="M698" i="10"/>
  <c r="Y764" i="10" s="1"/>
  <c r="K715" i="10"/>
  <c r="L715" i="10"/>
  <c r="M668" i="10"/>
  <c r="M702" i="10"/>
  <c r="Y768" i="10" s="1"/>
  <c r="M689" i="10"/>
  <c r="Y755" i="10" s="1"/>
  <c r="M713" i="10"/>
  <c r="Y779" i="10" s="1"/>
  <c r="M694" i="10"/>
  <c r="Y760" i="10" s="1"/>
  <c r="M711" i="10"/>
  <c r="Y777" i="10" s="1"/>
  <c r="M678" i="10"/>
  <c r="Y744" i="10" s="1"/>
  <c r="M672" i="10"/>
  <c r="Y738" i="10" s="1"/>
  <c r="M682" i="10"/>
  <c r="Y748" i="10" s="1"/>
  <c r="M703" i="10"/>
  <c r="Y769" i="10" s="1"/>
  <c r="M708" i="10"/>
  <c r="Y774" i="10" s="1"/>
  <c r="M696" i="10"/>
  <c r="Y762" i="10" s="1"/>
  <c r="M715" i="10" l="1"/>
  <c r="Y734" i="10"/>
  <c r="Y815" i="10" s="1"/>
</calcChain>
</file>

<file path=xl/sharedStrings.xml><?xml version="1.0" encoding="utf-8"?>
<sst xmlns="http://schemas.openxmlformats.org/spreadsheetml/2006/main" count="4674" uniqueCount="1282">
  <si>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</si>
  <si>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</si>
  <si>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</si>
  <si>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</si>
  <si>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</si>
  <si>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</si>
  <si>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</si>
  <si>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</si>
  <si>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</si>
  <si>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</si>
  <si>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</si>
  <si>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</si>
  <si>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</si>
  <si>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</si>
  <si>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</si>
  <si>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</si>
  <si>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</si>
  <si>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</si>
  <si>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</si>
  <si>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</si>
  <si>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</si>
  <si>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</si>
  <si>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</si>
  <si>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</si>
  <si>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</si>
  <si>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</si>
  <si>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</si>
  <si>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</si>
  <si>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</si>
  <si>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</si>
  <si>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</si>
  <si>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</si>
  <si>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</si>
  <si>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</si>
  <si>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</si>
  <si>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</si>
  <si>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</si>
  <si>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</si>
  <si>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</si>
  <si>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</si>
  <si>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</si>
  <si>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</si>
  <si>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</si>
  <si>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</si>
  <si>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</si>
  <si>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</si>
  <si>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</si>
  <si>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</si>
  <si>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</si>
  <si>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</si>
  <si>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</si>
  <si>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</si>
  <si>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</si>
  <si>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</si>
  <si>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</si>
  <si>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</si>
  <si>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</si>
  <si>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</si>
  <si>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</si>
  <si>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</si>
  <si>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</si>
  <si>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</si>
  <si>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</si>
  <si>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</si>
  <si>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</si>
  <si>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</si>
  <si>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</si>
  <si>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</si>
  <si>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</si>
  <si>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</si>
  <si>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</si>
  <si>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</si>
  <si>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</si>
  <si>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</si>
  <si>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</si>
  <si>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</si>
  <si>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</si>
  <si>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</si>
  <si>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</si>
  <si>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</si>
  <si>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</si>
  <si>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</si>
  <si>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</si>
  <si>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</si>
  <si>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</si>
  <si>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</si>
  <si>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</si>
  <si>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</si>
  <si>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</si>
  <si>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</si>
  <si>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</si>
  <si>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</si>
  <si>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</si>
  <si>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</si>
  <si>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</si>
  <si>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</si>
  <si>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</si>
  <si>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</si>
  <si>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</si>
  <si>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</si>
  <si>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</si>
  <si>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</si>
  <si>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</si>
  <si>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</si>
  <si>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</si>
  <si>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</si>
  <si>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</si>
  <si>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</si>
  <si>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</si>
  <si>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</si>
  <si>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</si>
  <si>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</si>
  <si>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</si>
  <si>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</si>
  <si>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</si>
  <si>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</si>
  <si>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</si>
  <si>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</si>
  <si>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</si>
  <si>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</si>
  <si>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</si>
  <si>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</si>
  <si>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</si>
  <si>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</si>
  <si>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</si>
  <si>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</si>
  <si>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</si>
  <si>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</si>
  <si>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</si>
  <si>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</si>
  <si>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</si>
  <si>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</si>
  <si>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</si>
  <si>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</si>
  <si>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</si>
  <si>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</si>
  <si>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</si>
  <si>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</si>
  <si>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</si>
  <si>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</si>
  <si>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</si>
  <si>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</si>
  <si>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</si>
  <si>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</si>
  <si>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</si>
  <si>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</si>
  <si>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</si>
  <si>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</si>
  <si>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</si>
  <si>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</si>
  <si>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</si>
  <si>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</si>
  <si>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</si>
  <si>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</si>
  <si>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</si>
  <si>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</si>
  <si>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</si>
  <si>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</si>
  <si>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</si>
  <si>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</si>
  <si>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</si>
  <si>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</si>
  <si>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</si>
  <si>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</si>
  <si>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</si>
  <si>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</si>
  <si>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</si>
  <si>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</si>
  <si>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</si>
  <si>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</si>
  <si>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</si>
  <si>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</si>
  <si>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</si>
  <si>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</si>
  <si>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</si>
  <si>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</si>
  <si>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</si>
  <si>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</si>
  <si>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</si>
  <si>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</si>
  <si>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</si>
  <si>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</si>
  <si>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</si>
  <si>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</si>
  <si>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</si>
  <si>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</si>
  <si>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</si>
  <si>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</si>
  <si>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</si>
  <si>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</si>
  <si>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</si>
  <si>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</si>
  <si>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</si>
  <si>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</si>
  <si>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</si>
  <si>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</si>
  <si>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</si>
  <si>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</si>
  <si>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</si>
  <si>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</si>
  <si>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</si>
  <si>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</si>
  <si>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</si>
  <si>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</si>
  <si>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</si>
  <si>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</si>
  <si>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</si>
  <si>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</si>
  <si>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</si>
  <si>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</si>
  <si>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</si>
  <si>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</si>
  <si>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</si>
  <si>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</si>
  <si>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</si>
  <si>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</si>
  <si>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</si>
  <si>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</si>
  <si>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</si>
  <si>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</si>
  <si>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</si>
  <si>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</si>
  <si>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</si>
  <si>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</si>
  <si>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</si>
  <si>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</si>
  <si>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</si>
  <si>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</si>
  <si>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</si>
  <si>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</si>
  <si>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</si>
  <si>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</si>
  <si>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</si>
  <si>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</si>
  <si>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</si>
  <si>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</si>
  <si>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</si>
  <si>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</si>
  <si>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</si>
  <si>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</si>
  <si>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</si>
  <si>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</si>
  <si>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</si>
  <si>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</si>
  <si>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</si>
  <si>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</si>
  <si>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</si>
  <si>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</si>
  <si>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</si>
  <si>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</si>
  <si>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</si>
  <si>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</si>
  <si>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</si>
  <si>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</si>
  <si>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</si>
  <si>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</si>
  <si>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</si>
  <si>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</si>
  <si>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</si>
  <si>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</si>
  <si>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</si>
  <si>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</si>
  <si>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</si>
  <si>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</si>
  <si>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</si>
  <si>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</si>
  <si>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</si>
  <si>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</si>
  <si>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</si>
  <si>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</si>
  <si>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</si>
  <si>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</si>
  <si>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</si>
  <si>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</si>
  <si>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</si>
  <si>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</si>
  <si>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</si>
  <si>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</si>
  <si>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</si>
  <si>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</si>
  <si>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</si>
  <si>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</si>
  <si>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</si>
  <si>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</si>
  <si>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</si>
  <si>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</si>
  <si>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</si>
  <si>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</si>
  <si>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</si>
  <si>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</si>
  <si>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</si>
  <si>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</si>
  <si>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</si>
  <si>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</si>
  <si>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</si>
  <si>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</si>
  <si>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</si>
  <si>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</si>
  <si>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</si>
  <si>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</si>
  <si>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</si>
  <si>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</si>
  <si>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</si>
  <si>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</si>
  <si>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</si>
  <si>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</si>
  <si>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</si>
  <si>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</si>
  <si>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</si>
  <si>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</si>
  <si>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</si>
  <si>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</si>
  <si>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</si>
  <si>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</si>
  <si>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</si>
  <si>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</si>
  <si>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</si>
  <si>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</si>
  <si>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</si>
  <si>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</si>
  <si>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</si>
  <si>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</si>
  <si>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</si>
  <si>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</si>
  <si>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</si>
  <si>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</si>
  <si>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</si>
  <si>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</si>
  <si>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</si>
  <si>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</si>
  <si>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</si>
  <si>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</si>
  <si>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</si>
  <si>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</si>
  <si>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</si>
  <si>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</si>
  <si>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</si>
  <si>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</si>
  <si>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</si>
  <si>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</si>
  <si>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</si>
  <si>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</si>
  <si>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</si>
  <si>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</si>
  <si>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</si>
  <si>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</si>
  <si>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</si>
  <si>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</si>
  <si>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</si>
  <si>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</si>
  <si>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</si>
  <si>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</si>
  <si>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</si>
  <si>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</si>
  <si>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</si>
  <si>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</si>
  <si>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</si>
  <si>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</si>
  <si>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</si>
  <si>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</si>
  <si>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</si>
  <si>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</si>
  <si>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</si>
  <si>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</si>
  <si>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</si>
  <si>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</si>
  <si>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</si>
  <si>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</si>
  <si>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</si>
  <si>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</si>
  <si>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</si>
  <si>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</si>
  <si>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</si>
  <si>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</si>
  <si>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</si>
  <si>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</si>
  <si>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</si>
  <si>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</si>
  <si>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</si>
  <si>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</si>
  <si>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</si>
  <si>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</si>
  <si>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</si>
  <si>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</si>
  <si>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</si>
  <si>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</si>
  <si>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</si>
  <si>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</si>
  <si>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</si>
  <si>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</si>
  <si>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</si>
  <si>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</si>
  <si>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</si>
  <si>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</si>
  <si>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</si>
  <si>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</si>
  <si>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</si>
  <si>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</si>
  <si>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</si>
  <si>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</si>
  <si>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</si>
  <si>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</si>
  <si>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</si>
  <si>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</si>
  <si>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</si>
  <si>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</si>
  <si>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</si>
  <si>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</si>
  <si>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</si>
  <si>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</si>
  <si>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</si>
  <si>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</si>
  <si>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</si>
  <si>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</si>
  <si>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</si>
  <si>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</si>
  <si>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</si>
  <si>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</si>
  <si>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</si>
  <si>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</si>
  <si>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</si>
  <si>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</si>
  <si>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</si>
  <si>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</si>
  <si>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</si>
  <si>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</si>
  <si>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</si>
  <si>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</si>
  <si>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</si>
  <si>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</si>
  <si>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</si>
  <si>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</si>
  <si>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</si>
  <si>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</si>
  <si>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</si>
  <si>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</si>
  <si>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</si>
  <si>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</si>
  <si>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</si>
  <si>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</si>
  <si>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</si>
  <si>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</si>
  <si>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</si>
  <si>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</si>
  <si>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</si>
  <si>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</si>
  <si>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</si>
  <si>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</si>
  <si>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</si>
  <si>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</si>
  <si>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</si>
  <si>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</si>
  <si>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</si>
  <si>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</si>
  <si>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</si>
  <si>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</si>
  <si>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</si>
  <si>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</si>
  <si>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</si>
  <si>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</si>
  <si>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</si>
  <si>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</si>
  <si>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</si>
  <si>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</si>
  <si>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</si>
  <si>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</si>
  <si>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</si>
  <si>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</si>
  <si>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</si>
  <si>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</si>
  <si>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</si>
  <si>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</si>
  <si>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</si>
  <si>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</si>
  <si>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</si>
  <si>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</si>
  <si>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</si>
  <si>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</si>
  <si>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</si>
  <si>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</si>
  <si>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</si>
  <si>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</si>
  <si>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</si>
  <si>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</si>
  <si>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</si>
  <si>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</si>
  <si>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</si>
  <si>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</si>
  <si>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</si>
  <si>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</si>
  <si>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</si>
  <si>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</si>
  <si>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</si>
  <si>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</si>
  <si>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</si>
  <si>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</si>
  <si>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</si>
  <si>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</si>
  <si>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</si>
  <si>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</si>
  <si>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</si>
  <si>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</si>
  <si>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</si>
  <si>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</si>
  <si>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</si>
  <si>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</si>
  <si>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</si>
  <si>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</si>
  <si>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</si>
  <si>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</si>
  <si>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</si>
  <si>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</si>
  <si>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</si>
  <si>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</si>
  <si>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</si>
  <si>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</si>
  <si>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</si>
  <si>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</si>
  <si>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</si>
  <si>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</si>
  <si>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</si>
  <si>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</si>
  <si>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</si>
  <si>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</si>
  <si>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</si>
  <si>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</si>
  <si>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</si>
  <si>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</si>
  <si>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</si>
  <si>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</si>
  <si>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</si>
  <si>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</si>
  <si>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</si>
  <si>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</si>
  <si>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</si>
  <si>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</si>
  <si>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</si>
  <si>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</si>
  <si>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</si>
  <si>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</si>
  <si>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</si>
  <si>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</si>
  <si>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</si>
  <si>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</si>
  <si>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</si>
  <si>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</si>
  <si>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</si>
  <si>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</si>
  <si>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</si>
  <si>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</si>
  <si>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</si>
  <si>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</si>
  <si>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</si>
  <si>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</si>
  <si>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</si>
  <si>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</si>
  <si>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</si>
  <si>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</si>
  <si>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</si>
  <si>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</si>
  <si>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</si>
  <si>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</si>
  <si>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</si>
  <si>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</si>
  <si>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</si>
  <si>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</si>
  <si>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</si>
  <si>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</si>
  <si>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</si>
  <si>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</si>
  <si>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</si>
  <si>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</si>
  <si>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</si>
  <si>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</si>
  <si>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</si>
  <si>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</si>
  <si>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</si>
  <si>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</si>
  <si>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</si>
  <si>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</si>
  <si>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</si>
  <si>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</si>
  <si>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</si>
  <si>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</si>
  <si>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</si>
  <si>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</si>
  <si>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</si>
  <si>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</si>
  <si>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</si>
  <si>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</si>
  <si>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</si>
  <si>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</si>
  <si>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</si>
  <si>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</si>
  <si>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</si>
  <si>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</si>
  <si>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</si>
  <si>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</si>
  <si>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</si>
  <si>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</si>
  <si>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</si>
  <si>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</si>
  <si>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</si>
  <si>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</si>
  <si>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</si>
  <si>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</si>
  <si>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</si>
  <si>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</si>
  <si>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</si>
  <si>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</si>
  <si>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</si>
  <si>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</si>
  <si>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</si>
  <si>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</si>
  <si>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</si>
  <si>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</si>
  <si>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</si>
  <si>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</si>
  <si>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</si>
  <si>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</si>
  <si>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</si>
  <si>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</si>
  <si>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</si>
  <si>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</si>
  <si>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</si>
  <si>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</si>
  <si>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</si>
  <si>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</si>
  <si>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</si>
  <si>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</si>
  <si>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</si>
  <si>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</si>
  <si>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</si>
  <si>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</si>
  <si>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</si>
  <si>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</si>
  <si>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</si>
  <si>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</si>
  <si>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</si>
  <si>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</si>
  <si>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</si>
  <si>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</si>
  <si>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</si>
  <si>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</si>
  <si>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</si>
  <si>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</si>
  <si>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</si>
  <si>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</si>
  <si>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</si>
  <si>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</si>
  <si>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</si>
  <si>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</si>
  <si>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</si>
  <si>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</si>
  <si>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</si>
  <si>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</si>
  <si>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</si>
  <si>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</si>
  <si>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</si>
  <si>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</si>
  <si>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</si>
  <si>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</si>
  <si>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</si>
  <si>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</si>
  <si>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</si>
  <si>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</si>
  <si>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</si>
  <si>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</si>
  <si>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</si>
  <si>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</si>
  <si>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</si>
  <si>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</si>
  <si>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</si>
  <si>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</si>
  <si>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</si>
  <si>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</si>
  <si>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</si>
  <si>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</si>
  <si>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</si>
  <si>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</si>
  <si>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</si>
  <si>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</si>
  <si>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</si>
  <si>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</si>
  <si>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</si>
  <si>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</si>
  <si>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</si>
  <si>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</si>
  <si>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</si>
  <si>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</si>
  <si>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</si>
  <si>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</si>
  <si>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</si>
  <si>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</si>
  <si>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</si>
  <si>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</si>
  <si>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</si>
  <si>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</si>
  <si>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</si>
  <si>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</si>
  <si>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</si>
  <si>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</si>
  <si>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</si>
  <si>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</si>
  <si>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</si>
  <si>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</si>
  <si>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</si>
  <si>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</si>
  <si>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</si>
  <si>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</si>
  <si>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</si>
  <si>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</si>
  <si>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</si>
  <si>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</si>
  <si>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</si>
  <si>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</si>
  <si>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</si>
  <si>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</si>
  <si>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</si>
  <si>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</si>
  <si>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</si>
  <si>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</si>
  <si>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</si>
  <si>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</si>
  <si>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</si>
  <si>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</si>
  <si>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</si>
  <si>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</si>
  <si>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</si>
  <si>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</si>
  <si>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</si>
  <si>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</si>
  <si>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</si>
  <si>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</si>
  <si>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</si>
  <si>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</si>
  <si>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</si>
  <si>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</si>
  <si>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</si>
  <si>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</si>
  <si>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</si>
  <si>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</si>
  <si>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</si>
  <si>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</si>
  <si>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</si>
  <si>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</si>
  <si>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</si>
  <si>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</si>
  <si>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</si>
  <si>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</si>
  <si>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</si>
  <si>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</si>
  <si>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</si>
  <si>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</si>
  <si>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</si>
  <si>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</si>
  <si>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</si>
  <si>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</si>
  <si>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</si>
  <si>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</si>
  <si>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</si>
  <si>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</si>
  <si>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</si>
  <si>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</si>
  <si>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</si>
  <si>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</si>
  <si>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</si>
  <si>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</si>
  <si>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</si>
  <si>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</si>
  <si>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</si>
  <si>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</si>
  <si>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</si>
  <si>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</si>
  <si>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</si>
  <si>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</si>
  <si>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</si>
  <si>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</si>
  <si>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</si>
  <si>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</si>
  <si>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</si>
  <si>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</si>
  <si>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</si>
  <si>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</si>
  <si>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</si>
  <si>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</si>
  <si>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</si>
  <si>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</si>
  <si>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</si>
  <si>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</si>
  <si>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</si>
  <si>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</si>
  <si>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</si>
  <si>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</si>
  <si>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</si>
  <si>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</si>
  <si>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</si>
  <si>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</si>
  <si>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</si>
  <si>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</si>
  <si>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</si>
  <si>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</si>
  <si>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</si>
  <si>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</si>
  <si>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</si>
  <si>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</si>
  <si>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</si>
  <si>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</si>
  <si>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</si>
  <si>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</si>
  <si>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</si>
  <si>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</si>
  <si>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</si>
  <si>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</si>
  <si>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</si>
  <si>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</si>
  <si>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</si>
  <si>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</si>
  <si>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</si>
  <si>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</si>
  <si>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</si>
  <si>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</si>
  <si>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</si>
  <si>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</si>
  <si>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</si>
  <si>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</si>
  <si>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</si>
  <si>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</si>
  <si>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</si>
  <si>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</si>
  <si>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</si>
  <si>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</si>
  <si>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</si>
  <si>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</si>
  <si>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</si>
  <si>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</si>
  <si>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</si>
  <si>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</si>
  <si>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</si>
  <si>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</si>
  <si>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</si>
  <si>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</si>
  <si>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</si>
  <si>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</si>
  <si>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</si>
  <si>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</si>
  <si>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</si>
  <si>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</si>
  <si>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</si>
  <si>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</si>
  <si>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</si>
  <si>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</si>
  <si>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</si>
  <si>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</si>
  <si>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</si>
  <si>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</si>
  <si>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</si>
  <si>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</si>
  <si>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</si>
  <si>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</si>
  <si>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</si>
  <si>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</si>
  <si>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</si>
  <si>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</si>
  <si>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</si>
  <si>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</si>
  <si>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</si>
  <si>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</si>
  <si>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</si>
  <si>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</si>
  <si>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</si>
  <si>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</si>
  <si>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</si>
  <si>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</si>
  <si>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</si>
  <si>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</si>
  <si>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</si>
  <si>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</si>
  <si>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</si>
  <si>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</si>
  <si>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</si>
  <si>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</si>
  <si>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</si>
  <si>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</si>
  <si>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</si>
  <si>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</si>
  <si>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</si>
  <si>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</si>
  <si>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</si>
  <si>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</si>
  <si>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</si>
  <si>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</si>
  <si>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</si>
  <si>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</si>
  <si>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</si>
  <si>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</si>
  <si>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</si>
  <si>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</si>
  <si>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</si>
  <si>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</si>
  <si>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</si>
  <si>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</si>
  <si>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</si>
  <si>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</si>
  <si>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</si>
  <si>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</si>
  <si>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</si>
  <si>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</si>
  <si>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</si>
  <si>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</si>
  <si>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</si>
  <si>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</si>
  <si>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</si>
  <si>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</si>
  <si>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</si>
  <si>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</si>
  <si>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</si>
  <si>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</si>
  <si>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</si>
  <si>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</si>
  <si>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</si>
  <si>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</si>
  <si>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</si>
  <si>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</si>
  <si>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</si>
  <si>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</si>
  <si>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</si>
  <si>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</si>
  <si>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</si>
  <si>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</si>
  <si>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</si>
  <si>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</si>
  <si>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</si>
  <si>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</si>
  <si>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</si>
  <si>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</si>
  <si>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</si>
  <si>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</si>
  <si>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</si>
  <si>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</si>
  <si>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</si>
  <si>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</si>
  <si>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</si>
  <si>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</si>
  <si>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</si>
  <si>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</si>
  <si>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</si>
  <si>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</si>
  <si>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</si>
  <si>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</si>
  <si>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</si>
  <si>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</si>
  <si>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</si>
  <si>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</si>
  <si>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</si>
  <si>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</si>
  <si>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</si>
  <si>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</si>
  <si>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</si>
  <si>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</si>
  <si>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</si>
  <si>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</si>
  <si>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</si>
  <si>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</si>
  <si>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</si>
  <si>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</si>
  <si>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</si>
  <si>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</si>
  <si>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</si>
  <si>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</si>
  <si>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</si>
  <si>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</si>
  <si>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</si>
  <si>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</si>
  <si>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</si>
  <si>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</si>
  <si>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</si>
  <si>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</si>
  <si>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</si>
  <si>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</si>
  <si>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</si>
  <si>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</si>
  <si>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</si>
  <si>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</si>
  <si>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</si>
  <si>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</si>
  <si>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</si>
  <si>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</si>
  <si>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</si>
  <si>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</si>
  <si>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</si>
  <si>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</si>
  <si>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</si>
  <si>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</si>
  <si>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</si>
  <si>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</si>
  <si>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</si>
  <si>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</si>
  <si>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</si>
  <si>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</si>
  <si>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</si>
  <si>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</si>
  <si>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</si>
  <si>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</si>
  <si>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</si>
  <si>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</si>
  <si>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</si>
  <si>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</si>
  <si>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</si>
  <si>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</si>
  <si>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</si>
  <si>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</si>
  <si>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</si>
  <si>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</si>
  <si>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</si>
  <si>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</si>
  <si>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</si>
  <si>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</si>
  <si>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</si>
  <si>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</si>
  <si>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</si>
  <si>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</si>
  <si>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</si>
  <si>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</si>
  <si>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</si>
  <si>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</si>
  <si>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</si>
  <si>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</si>
  <si>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</si>
  <si>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</si>
  <si>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</si>
  <si>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</si>
  <si>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</si>
  <si>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</si>
  <si>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</si>
  <si>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</si>
  <si>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</si>
  <si>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</si>
  <si>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</si>
  <si>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</si>
  <si>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</si>
  <si>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</si>
  <si>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</si>
  <si>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</si>
  <si>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</si>
  <si>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</si>
  <si>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</si>
  <si>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</si>
  <si>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</si>
  <si>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</si>
  <si>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</si>
  <si>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</si>
  <si>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</si>
  <si>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</si>
  <si>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</si>
  <si>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</si>
  <si>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</si>
  <si>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</si>
  <si>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</si>
  <si>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</si>
  <si>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</si>
  <si>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</si>
  <si>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</si>
  <si>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</si>
  <si>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</si>
  <si>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</si>
  <si>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</si>
  <si>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</si>
  <si>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</si>
  <si>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</si>
  <si>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</si>
  <si>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</si>
  <si>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</si>
  <si>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</si>
  <si>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</si>
  <si>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</si>
  <si>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</si>
  <si>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</si>
  <si>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</si>
  <si>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</si>
  <si>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</si>
  <si>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</si>
  <si>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</si>
  <si>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</si>
  <si>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</si>
  <si>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</si>
  <si>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</si>
  <si>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</si>
  <si>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</si>
  <si>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</si>
  <si>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</si>
  <si>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</si>
  <si>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</si>
  <si>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</si>
  <si>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</si>
  <si>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</si>
  <si>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</si>
  <si>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</si>
  <si>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</si>
  <si>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</si>
  <si>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</si>
  <si>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</si>
  <si>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</si>
  <si>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</si>
  <si>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</si>
  <si>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</si>
  <si>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</si>
  <si>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</si>
  <si>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</si>
  <si>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</si>
  <si>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</si>
  <si>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</si>
  <si>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</si>
  <si>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</si>
  <si>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</si>
  <si>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</si>
  <si>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</si>
  <si>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</si>
  <si>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</si>
  <si>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</si>
  <si>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</si>
  <si>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</si>
  <si>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</si>
  <si>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</si>
  <si>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</si>
  <si>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</si>
  <si>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</si>
  <si>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</si>
  <si>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</si>
  <si>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</si>
  <si>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</si>
  <si>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</si>
  <si>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</si>
  <si>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</si>
  <si>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</si>
  <si>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</si>
  <si>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</si>
  <si>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</si>
  <si>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</si>
  <si>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</si>
  <si>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</si>
  <si>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</si>
  <si>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</si>
  <si>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</si>
  <si>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</si>
  <si>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</si>
  <si>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</si>
  <si>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</si>
  <si>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</si>
  <si>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</si>
  <si>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</si>
  <si>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</si>
  <si>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</si>
  <si>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</si>
  <si>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</si>
  <si>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</si>
  <si>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</si>
  <si>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</si>
  <si>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</si>
  <si>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</si>
  <si>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</si>
  <si>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</si>
  <si>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</si>
  <si>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</si>
  <si>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</si>
  <si>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</si>
  <si>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</si>
  <si>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</si>
  <si>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</si>
  <si>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</si>
  <si>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</si>
  <si>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</si>
  <si>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</si>
  <si>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</si>
  <si>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</si>
  <si>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</si>
  <si>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</si>
  <si>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</si>
  <si>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</si>
  <si>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</si>
  <si>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</si>
  <si>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</si>
  <si>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</si>
  <si>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</si>
  <si>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</si>
  <si>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</si>
  <si>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</si>
  <si>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</si>
  <si>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</si>
  <si>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</si>
  <si>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</si>
  <si>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</si>
  <si>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</si>
  <si>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</si>
  <si>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</si>
  <si>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</si>
  <si>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</si>
  <si>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</si>
  <si>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</si>
  <si>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</si>
  <si>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</si>
  <si>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</si>
  <si>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</si>
  <si>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</si>
  <si>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</si>
  <si>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</si>
  <si>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</si>
  <si>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</si>
  <si>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</si>
  <si>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</si>
  <si>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</si>
  <si>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</si>
  <si>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</si>
  <si>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</si>
  <si>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</si>
  <si>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</si>
  <si>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</si>
  <si>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</si>
  <si>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</si>
  <si>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</si>
  <si>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</si>
  <si>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</si>
  <si>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</si>
  <si>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</si>
  <si>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</si>
  <si>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</si>
  <si>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</si>
  <si>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</si>
  <si>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</si>
  <si>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</si>
  <si>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</si>
  <si>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</si>
  <si>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</si>
  <si>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</si>
  <si>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</si>
  <si>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</si>
  <si>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</si>
  <si>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</si>
  <si>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</si>
  <si>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</si>
  <si>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</si>
  <si>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</si>
  <si>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</si>
  <si>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</si>
  <si>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</si>
  <si>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</si>
  <si>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</si>
  <si>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</si>
  <si>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</si>
  <si>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</si>
  <si>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</si>
  <si>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</si>
  <si>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</si>
  <si>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</si>
  <si>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</si>
  <si>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</si>
  <si>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</si>
  <si>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</si>
  <si>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</si>
  <si>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</si>
  <si>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</si>
  <si>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</si>
  <si>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</si>
  <si>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</si>
  <si>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</si>
  <si>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</si>
  <si>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</si>
  <si>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148</t>
  </si>
  <si>
    <t>Kindred Hospital Seattle Northgate/First Hill</t>
  </si>
  <si>
    <t>10631 8th Avenue NE</t>
  </si>
  <si>
    <t>Seattle WA 98125</t>
  </si>
  <si>
    <t>King</t>
  </si>
  <si>
    <t>Jean Clark - Northgate  Doug Mccoy - First Hill</t>
  </si>
  <si>
    <t>Bruce Macneill</t>
  </si>
  <si>
    <t>Linn Billingsley</t>
  </si>
  <si>
    <t>206-364-2050</t>
  </si>
  <si>
    <t>206-361-5722</t>
  </si>
  <si>
    <t>X</t>
  </si>
  <si>
    <t>higher census in 2017</t>
  </si>
  <si>
    <t>Keenan Underwood</t>
  </si>
  <si>
    <t>Doug McCoy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</si>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</sst>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2609335</v>
      </c>
      <c r="C47" s="184">
        <f>31291.66+44217.32</f>
        <v>75508.98</v>
      </c>
      <c r="D47" s="184">
        <f>176.73+125609.39+289874.34+29.91+1913.72+364604.84+3683.79+6669.97</f>
        <v>792562.69</v>
      </c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>
        <f>35914.6+10745.49</f>
        <v>46660.09</v>
      </c>
      <c r="V47" s="184"/>
      <c r="W47" s="184"/>
      <c r="X47" s="184"/>
      <c r="Y47" s="184">
        <f>19535.27+5720.2</f>
        <v>25255.47</v>
      </c>
      <c r="Z47" s="184"/>
      <c r="AA47" s="184"/>
      <c r="AB47" s="184">
        <f>53637.31+64708.01</f>
        <v>118345.32</v>
      </c>
      <c r="AC47" s="184">
        <f>84646.5+87374.92</f>
        <v>172021.41999999998</v>
      </c>
      <c r="AD47" s="184"/>
      <c r="AE47" s="184">
        <v>37.21</v>
      </c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f>40996.04+34711.88+4796.75+9288.36</f>
        <v>89793.03</v>
      </c>
      <c r="AZ47" s="184"/>
      <c r="BA47" s="184"/>
      <c r="BB47" s="184"/>
      <c r="BC47" s="184"/>
      <c r="BD47" s="184">
        <f>14495.11+11720.91</f>
        <v>26216.02</v>
      </c>
      <c r="BE47" s="184"/>
      <c r="BF47" s="184">
        <f>44796.65+29855.63</f>
        <v>74652.28</v>
      </c>
      <c r="BG47" s="184"/>
      <c r="BH47" s="184"/>
      <c r="BI47" s="184">
        <f>4088.4+17594.77</f>
        <v>21683.170000000002</v>
      </c>
      <c r="BJ47" s="184">
        <f>19887.73+11535.75</f>
        <v>31423.48</v>
      </c>
      <c r="BK47" s="184"/>
      <c r="BL47" s="184">
        <f>8074.53+5964.55+58980.66+47351.73</f>
        <v>120371.47</v>
      </c>
      <c r="BM47" s="184"/>
      <c r="BN47" s="184">
        <f>499466.78+171319.06</f>
        <v>670785.84000000008</v>
      </c>
      <c r="BO47" s="184"/>
      <c r="BP47" s="184"/>
      <c r="BQ47" s="184"/>
      <c r="BR47" s="184">
        <f>-301.43+562.44</f>
        <v>261.01000000000005</v>
      </c>
      <c r="BS47" s="184"/>
      <c r="BT47" s="184"/>
      <c r="BU47" s="184"/>
      <c r="BV47" s="184">
        <f>13262.59+8518</f>
        <v>21780.59</v>
      </c>
      <c r="BW47" s="184"/>
      <c r="BX47" s="184">
        <f>28653.61+29504.43</f>
        <v>58158.04</v>
      </c>
      <c r="BY47" s="184">
        <f>65102.52+115651.93</f>
        <v>180754.44999999998</v>
      </c>
      <c r="BZ47" s="184"/>
      <c r="CA47" s="184">
        <f>28586.55+6533.53</f>
        <v>35120.080000000002</v>
      </c>
      <c r="CB47" s="184"/>
      <c r="CC47" s="184">
        <f>2254.49-1.69+361.93+1160+3931.49-1.35+1170.02+1714.97+19618.24+16678.8+567.27+490.57</f>
        <v>47944.739999999991</v>
      </c>
      <c r="CD47" s="195"/>
      <c r="CE47" s="195">
        <f>SUM(C47:CC47)</f>
        <v>2609335.38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2609335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2710471</v>
      </c>
      <c r="C52" s="195">
        <f>ROUND((B52/(CE76+CF76)*C76),0)</f>
        <v>121828</v>
      </c>
      <c r="D52" s="195">
        <f>ROUND((B52/(CE76+CF76)*D76),0)</f>
        <v>573198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48536</v>
      </c>
      <c r="T52" s="195">
        <f>ROUND((B52/(CE76+CF76)*T76),0)</f>
        <v>0</v>
      </c>
      <c r="U52" s="195">
        <f>ROUND((B52/(CE76+CF76)*U76),0)</f>
        <v>16660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14611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50988</v>
      </c>
      <c r="AC52" s="195">
        <f>ROUND((B52/(CE76+CF76)*AC76),0)</f>
        <v>28819</v>
      </c>
      <c r="AD52" s="195">
        <f>ROUND((B52/(CE76+CF76)*AD76),0)</f>
        <v>0</v>
      </c>
      <c r="AE52" s="195">
        <f>ROUND((B52/(CE76+CF76)*AE76),0)</f>
        <v>145239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148128</v>
      </c>
      <c r="AZ52" s="195">
        <f>ROUND((B52/(CE76+CF76)*AZ76),0)</f>
        <v>0</v>
      </c>
      <c r="BA52" s="195">
        <f>ROUND((B52/(CE76+CF76)*BA76),0)</f>
        <v>20724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59486</v>
      </c>
      <c r="BE52" s="195">
        <f>ROUND((B52/(CE76+CF76)*BE76),0)</f>
        <v>265488</v>
      </c>
      <c r="BF52" s="195">
        <f>ROUND((B52/(CE76+CF76)*BF76),0)</f>
        <v>113430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14914</v>
      </c>
      <c r="BK52" s="195">
        <f>ROUND((B52/(CE76+CF76)*BK76),0)</f>
        <v>0</v>
      </c>
      <c r="BL52" s="195">
        <f>ROUND((B52/(CE76+CF76)*BL76),0)</f>
        <v>454024</v>
      </c>
      <c r="BM52" s="195">
        <f>ROUND((B52/(CE76+CF76)*BM76),0)</f>
        <v>0</v>
      </c>
      <c r="BN52" s="195">
        <f>ROUND((B52/(CE76+CF76)*BN76),0)</f>
        <v>475890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13234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32178</v>
      </c>
      <c r="BW52" s="195">
        <f>ROUND((B52/(CE76+CF76)*BW76),0)</f>
        <v>4568</v>
      </c>
      <c r="BX52" s="195">
        <f>ROUND((B52/(CE76+CF76)*BX76),0)</f>
        <v>9439</v>
      </c>
      <c r="BY52" s="195">
        <f>ROUND((B52/(CE76+CF76)*BY76),0)</f>
        <v>46319</v>
      </c>
      <c r="BZ52" s="195">
        <f>ROUND((B52/(CE76+CF76)*BZ76),0)</f>
        <v>0</v>
      </c>
      <c r="CA52" s="195">
        <f>ROUND((B52/(CE76+CF76)*CA76),0)</f>
        <v>25796</v>
      </c>
      <c r="CB52" s="195">
        <f>ROUND((B52/(CE76+CF76)*CB76),0)</f>
        <v>0</v>
      </c>
      <c r="CC52" s="195">
        <f>ROUND((B52/(CE76+CF76)*CC76),0)</f>
        <v>26972</v>
      </c>
      <c r="CD52" s="195"/>
      <c r="CE52" s="195">
        <f>SUM(C52:CD52)</f>
        <v>2710469</v>
      </c>
    </row>
    <row r="53" spans="1:84" ht="12.6" customHeight="1" x14ac:dyDescent="0.25">
      <c r="A53" s="175" t="s">
        <v>206</v>
      </c>
      <c r="B53" s="195">
        <f>B51+B52</f>
        <v>2710471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1037</v>
      </c>
      <c r="D59" s="184">
        <v>18785</v>
      </c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>
        <v>118083</v>
      </c>
      <c r="V59" s="185">
        <v>525</v>
      </c>
      <c r="W59" s="185"/>
      <c r="X59" s="185"/>
      <c r="Y59" s="185">
        <v>3362</v>
      </c>
      <c r="Z59" s="185"/>
      <c r="AA59" s="185"/>
      <c r="AB59" s="248"/>
      <c r="AC59" s="185">
        <v>58351</v>
      </c>
      <c r="AD59" s="185">
        <v>2373</v>
      </c>
      <c r="AE59" s="185">
        <v>13944</v>
      </c>
      <c r="AF59" s="185"/>
      <c r="AG59" s="185"/>
      <c r="AH59" s="185"/>
      <c r="AI59" s="185"/>
      <c r="AJ59" s="185"/>
      <c r="AK59" s="185">
        <v>8818</v>
      </c>
      <c r="AL59" s="185">
        <v>4649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42524</v>
      </c>
      <c r="AZ59" s="185"/>
      <c r="BA59" s="248"/>
      <c r="BB59" s="248"/>
      <c r="BC59" s="248"/>
      <c r="BD59" s="248"/>
      <c r="BE59" s="185">
        <v>80695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10.3772702991453</v>
      </c>
      <c r="D60" s="187">
        <v>96.950854700854705</v>
      </c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>
        <v>5.34</v>
      </c>
      <c r="V60" s="221"/>
      <c r="W60" s="221"/>
      <c r="X60" s="221"/>
      <c r="Y60" s="221">
        <v>2.17</v>
      </c>
      <c r="Z60" s="221"/>
      <c r="AA60" s="221"/>
      <c r="AB60" s="221">
        <v>9.8000000000000007</v>
      </c>
      <c r="AC60" s="221">
        <v>20.09</v>
      </c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13.43</v>
      </c>
      <c r="AZ60" s="221"/>
      <c r="BA60" s="221"/>
      <c r="BB60" s="221"/>
      <c r="BC60" s="221"/>
      <c r="BD60" s="221">
        <v>3.98</v>
      </c>
      <c r="BE60" s="221"/>
      <c r="BF60" s="221">
        <v>12.62</v>
      </c>
      <c r="BG60" s="221"/>
      <c r="BH60" s="221"/>
      <c r="BI60" s="221">
        <v>4.5</v>
      </c>
      <c r="BJ60" s="221">
        <v>3.15</v>
      </c>
      <c r="BK60" s="221"/>
      <c r="BL60" s="221">
        <v>6.95</v>
      </c>
      <c r="BM60" s="221"/>
      <c r="BN60" s="221">
        <v>8.1999999999999993</v>
      </c>
      <c r="BO60" s="221"/>
      <c r="BP60" s="221"/>
      <c r="BQ60" s="221"/>
      <c r="BR60" s="221"/>
      <c r="BS60" s="221"/>
      <c r="BT60" s="221"/>
      <c r="BU60" s="221"/>
      <c r="BV60" s="221">
        <v>1.87</v>
      </c>
      <c r="BW60" s="221"/>
      <c r="BX60" s="221">
        <v>6.32</v>
      </c>
      <c r="BY60" s="221">
        <v>15.18</v>
      </c>
      <c r="BZ60" s="221"/>
      <c r="CA60" s="221">
        <v>2.31</v>
      </c>
      <c r="CB60" s="221"/>
      <c r="CC60" s="221">
        <v>1.01</v>
      </c>
      <c r="CD60" s="249" t="s">
        <v>221</v>
      </c>
      <c r="CE60" s="251">
        <f t="shared" ref="CE60:CE70" si="0">SUM(C60:CD60)</f>
        <v>224.24812499999999</v>
      </c>
    </row>
    <row r="61" spans="1:84" ht="12.6" customHeight="1" x14ac:dyDescent="0.25">
      <c r="A61" s="171" t="s">
        <v>235</v>
      </c>
      <c r="B61" s="175"/>
      <c r="C61" s="184">
        <f>62839.83+41632+298778.62+253779.38+3109</f>
        <v>660138.83000000007</v>
      </c>
      <c r="D61" s="184">
        <f>589.09+903320.59+2080766.85+316+20951.52+6906.11+2535966.42+69680.11+83857.27+420164.94+257.42+2582.39+459312.91+7548.5+5342+893059+2720</f>
        <v>7493341.1200000001</v>
      </c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>
        <f>255512.68+62577.79+24079.76+8083.44+5548</f>
        <v>355801.67</v>
      </c>
      <c r="V61" s="185"/>
      <c r="W61" s="185"/>
      <c r="X61" s="185"/>
      <c r="Y61" s="185">
        <f>137468.6+67463.27+10886.07+4399.56</f>
        <v>220217.5</v>
      </c>
      <c r="Z61" s="185"/>
      <c r="AA61" s="185"/>
      <c r="AB61" s="185">
        <f>528557.65+31932.59+501395.22+47996.09</f>
        <v>1109881.55</v>
      </c>
      <c r="AC61" s="185">
        <f>608771.01+572081.68+85396.05+88113.04+1584</f>
        <v>1355945.78</v>
      </c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596701.80999999994</v>
      </c>
      <c r="AZ61" s="185"/>
      <c r="BA61" s="185"/>
      <c r="BB61" s="185"/>
      <c r="BC61" s="185"/>
      <c r="BD61" s="185">
        <f>96416.96+74653.54+9602.02+9178.51</f>
        <v>189851.03</v>
      </c>
      <c r="BE61" s="185"/>
      <c r="BF61" s="185">
        <f>304529.65+148972.36+31968.97+12766.56</f>
        <v>498237.54</v>
      </c>
      <c r="BG61" s="185"/>
      <c r="BH61" s="185"/>
      <c r="BI61" s="185">
        <f>119544.96+46342.45+16625.41+3146.5</f>
        <v>185659.32</v>
      </c>
      <c r="BJ61" s="185">
        <f>126258.33+80796.43+14102.64+9899</f>
        <v>231056.40000000002</v>
      </c>
      <c r="BK61" s="185"/>
      <c r="BL61" s="185">
        <f>452678.35+52016.34+365464.15+34063.16+35139.85+3757.82+27664.56+2461.28</f>
        <v>973245.51</v>
      </c>
      <c r="BM61" s="185"/>
      <c r="BN61" s="185">
        <f>97054.37+24897.77+781364.69+615580.46</f>
        <v>1518897.29</v>
      </c>
      <c r="BO61" s="185"/>
      <c r="BP61" s="185"/>
      <c r="BQ61" s="185"/>
      <c r="BR61" s="185"/>
      <c r="BS61" s="185"/>
      <c r="BT61" s="185"/>
      <c r="BU61" s="185"/>
      <c r="BV61" s="185">
        <f>63398.8+8785.85+46397.86+3268.99</f>
        <v>121851.50000000001</v>
      </c>
      <c r="BW61" s="185"/>
      <c r="BX61" s="185">
        <f>262778.62+21321.59+247724.31+27716.67</f>
        <v>559541.19000000006</v>
      </c>
      <c r="BY61" s="185">
        <f>568198.86+56876.24+932767.05+113062.28</f>
        <v>1670904.43</v>
      </c>
      <c r="BZ61" s="185"/>
      <c r="CA61" s="185">
        <f>146048.91+21931.15+67983.1+6135.66</f>
        <v>242098.82</v>
      </c>
      <c r="CB61" s="185"/>
      <c r="CC61" s="185">
        <f>415954.52+314+11481</f>
        <v>427749.52</v>
      </c>
      <c r="CD61" s="249" t="s">
        <v>221</v>
      </c>
      <c r="CE61" s="195">
        <f t="shared" si="0"/>
        <v>18411120.810000002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75509</v>
      </c>
      <c r="D62" s="195">
        <f t="shared" si="1"/>
        <v>792563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46660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25255</v>
      </c>
      <c r="Z62" s="195">
        <f t="shared" si="1"/>
        <v>0</v>
      </c>
      <c r="AA62" s="195">
        <f t="shared" si="1"/>
        <v>0</v>
      </c>
      <c r="AB62" s="195">
        <f t="shared" si="1"/>
        <v>118345</v>
      </c>
      <c r="AC62" s="195">
        <f t="shared" si="1"/>
        <v>172021</v>
      </c>
      <c r="AD62" s="195">
        <f t="shared" si="1"/>
        <v>0</v>
      </c>
      <c r="AE62" s="195">
        <f t="shared" si="1"/>
        <v>37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89793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26216</v>
      </c>
      <c r="BE62" s="195">
        <f t="shared" si="1"/>
        <v>0</v>
      </c>
      <c r="BF62" s="195">
        <f t="shared" si="1"/>
        <v>74652</v>
      </c>
      <c r="BG62" s="195">
        <f t="shared" si="1"/>
        <v>0</v>
      </c>
      <c r="BH62" s="195">
        <f t="shared" si="1"/>
        <v>0</v>
      </c>
      <c r="BI62" s="195">
        <f t="shared" si="1"/>
        <v>21683</v>
      </c>
      <c r="BJ62" s="195">
        <f t="shared" si="1"/>
        <v>31423</v>
      </c>
      <c r="BK62" s="195">
        <f t="shared" si="1"/>
        <v>0</v>
      </c>
      <c r="BL62" s="195">
        <f t="shared" si="1"/>
        <v>120371</v>
      </c>
      <c r="BM62" s="195">
        <f t="shared" si="1"/>
        <v>0</v>
      </c>
      <c r="BN62" s="195">
        <f t="shared" si="1"/>
        <v>670786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261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21781</v>
      </c>
      <c r="BW62" s="195">
        <f t="shared" si="2"/>
        <v>0</v>
      </c>
      <c r="BX62" s="195">
        <f t="shared" si="2"/>
        <v>58158</v>
      </c>
      <c r="BY62" s="195">
        <f t="shared" si="2"/>
        <v>180754</v>
      </c>
      <c r="BZ62" s="195">
        <f t="shared" si="2"/>
        <v>0</v>
      </c>
      <c r="CA62" s="195">
        <f t="shared" si="2"/>
        <v>35120</v>
      </c>
      <c r="CB62" s="195">
        <f t="shared" si="2"/>
        <v>0</v>
      </c>
      <c r="CC62" s="195">
        <f t="shared" si="2"/>
        <v>47945</v>
      </c>
      <c r="CD62" s="249" t="s">
        <v>221</v>
      </c>
      <c r="CE62" s="195">
        <f t="shared" si="0"/>
        <v>2609333</v>
      </c>
      <c r="CF62" s="252"/>
    </row>
    <row r="63" spans="1:84" ht="12.6" customHeight="1" x14ac:dyDescent="0.25">
      <c r="A63" s="171" t="s">
        <v>236</v>
      </c>
      <c r="B63" s="175"/>
      <c r="C63" s="184"/>
      <c r="D63" s="184">
        <f>33647+363831+156402</f>
        <v>553880</v>
      </c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32375</v>
      </c>
      <c r="V63" s="185"/>
      <c r="W63" s="185"/>
      <c r="X63" s="185"/>
      <c r="Y63" s="185">
        <v>50106</v>
      </c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v>62618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f>1543+12507</f>
        <v>14050</v>
      </c>
      <c r="CD63" s="249" t="s">
        <v>221</v>
      </c>
      <c r="CE63" s="195">
        <f t="shared" si="0"/>
        <v>713029</v>
      </c>
      <c r="CF63" s="252"/>
    </row>
    <row r="64" spans="1:84" ht="12.6" customHeight="1" x14ac:dyDescent="0.25">
      <c r="A64" s="171" t="s">
        <v>237</v>
      </c>
      <c r="B64" s="175"/>
      <c r="C64" s="184">
        <v>3601</v>
      </c>
      <c r="D64" s="184">
        <f>855788+324-5990+158277</f>
        <v>1008399</v>
      </c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>
        <v>113982</v>
      </c>
      <c r="V64" s="185"/>
      <c r="W64" s="185"/>
      <c r="X64" s="185"/>
      <c r="Y64" s="185">
        <v>2587</v>
      </c>
      <c r="Z64" s="185"/>
      <c r="AA64" s="185"/>
      <c r="AB64" s="185">
        <v>33992</v>
      </c>
      <c r="AC64" s="185">
        <v>178064</v>
      </c>
      <c r="AD64" s="185">
        <v>549</v>
      </c>
      <c r="AE64" s="185">
        <v>10874</v>
      </c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285509+11</f>
        <v>285520</v>
      </c>
      <c r="AZ64" s="185"/>
      <c r="BA64" s="185"/>
      <c r="BB64" s="185"/>
      <c r="BC64" s="185"/>
      <c r="BD64" s="185">
        <f>91610</f>
        <v>91610</v>
      </c>
      <c r="BE64" s="185">
        <f>635+39078+7955</f>
        <v>47668</v>
      </c>
      <c r="BF64" s="185">
        <f>172405+4478</f>
        <v>176883</v>
      </c>
      <c r="BG64" s="185"/>
      <c r="BH64" s="185"/>
      <c r="BI64" s="185">
        <f>1200</f>
        <v>1200</v>
      </c>
      <c r="BJ64" s="185">
        <v>196</v>
      </c>
      <c r="BK64" s="185"/>
      <c r="BL64" s="185">
        <v>3737</v>
      </c>
      <c r="BM64" s="185"/>
      <c r="BN64" s="185">
        <v>50168</v>
      </c>
      <c r="BO64" s="185"/>
      <c r="BP64" s="185"/>
      <c r="BQ64" s="185"/>
      <c r="BR64" s="185">
        <v>1000</v>
      </c>
      <c r="BS64" s="185"/>
      <c r="BT64" s="185"/>
      <c r="BU64" s="185"/>
      <c r="BV64" s="185">
        <v>888</v>
      </c>
      <c r="BW64" s="185"/>
      <c r="BX64" s="185"/>
      <c r="BY64" s="185">
        <v>22475</v>
      </c>
      <c r="BZ64" s="185"/>
      <c r="CA64" s="185">
        <v>1452</v>
      </c>
      <c r="CB64" s="185"/>
      <c r="CC64" s="185">
        <v>6909</v>
      </c>
      <c r="CD64" s="249" t="s">
        <v>221</v>
      </c>
      <c r="CE64" s="195">
        <f t="shared" si="0"/>
        <v>2041754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>
        <v>56</v>
      </c>
      <c r="V65" s="185"/>
      <c r="W65" s="185"/>
      <c r="X65" s="185"/>
      <c r="Y65" s="185"/>
      <c r="Z65" s="185"/>
      <c r="AA65" s="185"/>
      <c r="AB65" s="185"/>
      <c r="AC65" s="185">
        <v>35</v>
      </c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484867</v>
      </c>
      <c r="BF65" s="185"/>
      <c r="BG65" s="185"/>
      <c r="BH65" s="185"/>
      <c r="BI65" s="185"/>
      <c r="BJ65" s="185">
        <v>92</v>
      </c>
      <c r="BK65" s="185"/>
      <c r="BL65" s="185">
        <v>3230</v>
      </c>
      <c r="BM65" s="185"/>
      <c r="BN65" s="185">
        <v>78672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f>28426+700+16216</f>
        <v>45342</v>
      </c>
      <c r="CD65" s="249" t="s">
        <v>221</v>
      </c>
      <c r="CE65" s="195">
        <f t="shared" si="0"/>
        <v>612294</v>
      </c>
      <c r="CF65" s="252"/>
    </row>
    <row r="66" spans="1:84" ht="12.6" customHeight="1" x14ac:dyDescent="0.25">
      <c r="A66" s="171" t="s">
        <v>239</v>
      </c>
      <c r="B66" s="175"/>
      <c r="C66" s="184"/>
      <c r="D66" s="184">
        <f>-17973+538669+39848</f>
        <v>560544</v>
      </c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f>221341+274454</f>
        <v>495795</v>
      </c>
      <c r="V66" s="185">
        <f>727+10122</f>
        <v>10849</v>
      </c>
      <c r="W66" s="185">
        <v>12159</v>
      </c>
      <c r="X66" s="185">
        <f>352619-13980</f>
        <v>338639</v>
      </c>
      <c r="Y66" s="185">
        <f>245+5058+80927</f>
        <v>86230</v>
      </c>
      <c r="Z66" s="185"/>
      <c r="AA66" s="185"/>
      <c r="AB66" s="185">
        <f>150914+1567456</f>
        <v>1718370</v>
      </c>
      <c r="AC66" s="185">
        <f>124</f>
        <v>124</v>
      </c>
      <c r="AD66" s="185">
        <v>1183535</v>
      </c>
      <c r="AE66" s="185">
        <v>664384</v>
      </c>
      <c r="AF66" s="185"/>
      <c r="AG66" s="185"/>
      <c r="AH66" s="185">
        <v>2232</v>
      </c>
      <c r="AI66" s="185"/>
      <c r="AJ66" s="185"/>
      <c r="AK66" s="185">
        <v>450569</v>
      </c>
      <c r="AL66" s="185">
        <v>209082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>
        <v>48</v>
      </c>
      <c r="BB66" s="185"/>
      <c r="BC66" s="185"/>
      <c r="BD66" s="185">
        <v>4104</v>
      </c>
      <c r="BE66" s="185">
        <f>-37583+512043+340+263532</f>
        <v>738332</v>
      </c>
      <c r="BF66" s="185">
        <v>7904</v>
      </c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>
        <f>690+12340</f>
        <v>13030</v>
      </c>
      <c r="BW66" s="185"/>
      <c r="BX66" s="185">
        <v>449</v>
      </c>
      <c r="BY66" s="185">
        <v>152</v>
      </c>
      <c r="BZ66" s="185"/>
      <c r="CA66" s="185">
        <v>5119</v>
      </c>
      <c r="CB66" s="185"/>
      <c r="CC66" s="185">
        <f>4018+7582+18050</f>
        <v>29650</v>
      </c>
      <c r="CD66" s="249" t="s">
        <v>221</v>
      </c>
      <c r="CE66" s="195">
        <f t="shared" si="0"/>
        <v>6531300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121828</v>
      </c>
      <c r="D67" s="195">
        <f>ROUND(D51+D52,0)</f>
        <v>573198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48536</v>
      </c>
      <c r="T67" s="195">
        <f t="shared" si="3"/>
        <v>0</v>
      </c>
      <c r="U67" s="195">
        <f t="shared" si="3"/>
        <v>16660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14611</v>
      </c>
      <c r="Z67" s="195">
        <f t="shared" si="3"/>
        <v>0</v>
      </c>
      <c r="AA67" s="195">
        <f t="shared" si="3"/>
        <v>0</v>
      </c>
      <c r="AB67" s="195">
        <f t="shared" si="3"/>
        <v>50988</v>
      </c>
      <c r="AC67" s="195">
        <f t="shared" si="3"/>
        <v>28819</v>
      </c>
      <c r="AD67" s="195">
        <f t="shared" si="3"/>
        <v>0</v>
      </c>
      <c r="AE67" s="195">
        <f t="shared" si="3"/>
        <v>145239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148128</v>
      </c>
      <c r="AZ67" s="195">
        <f>ROUND(AZ51+AZ52,0)</f>
        <v>0</v>
      </c>
      <c r="BA67" s="195">
        <f>ROUND(BA51+BA52,0)</f>
        <v>20724</v>
      </c>
      <c r="BB67" s="195">
        <f t="shared" si="3"/>
        <v>0</v>
      </c>
      <c r="BC67" s="195">
        <f t="shared" si="3"/>
        <v>0</v>
      </c>
      <c r="BD67" s="195">
        <f t="shared" si="3"/>
        <v>59486</v>
      </c>
      <c r="BE67" s="195">
        <f t="shared" si="3"/>
        <v>265488</v>
      </c>
      <c r="BF67" s="195">
        <f t="shared" si="3"/>
        <v>113430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14914</v>
      </c>
      <c r="BK67" s="195">
        <f t="shared" si="3"/>
        <v>0</v>
      </c>
      <c r="BL67" s="195">
        <f t="shared" si="3"/>
        <v>454024</v>
      </c>
      <c r="BM67" s="195">
        <f t="shared" si="3"/>
        <v>0</v>
      </c>
      <c r="BN67" s="195">
        <f t="shared" si="3"/>
        <v>475890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13234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32178</v>
      </c>
      <c r="BW67" s="195">
        <f t="shared" si="4"/>
        <v>4568</v>
      </c>
      <c r="BX67" s="195">
        <f t="shared" si="4"/>
        <v>9439</v>
      </c>
      <c r="BY67" s="195">
        <f t="shared" si="4"/>
        <v>46319</v>
      </c>
      <c r="BZ67" s="195">
        <f t="shared" si="4"/>
        <v>0</v>
      </c>
      <c r="CA67" s="195">
        <f t="shared" si="4"/>
        <v>25796</v>
      </c>
      <c r="CB67" s="195">
        <f t="shared" si="4"/>
        <v>0</v>
      </c>
      <c r="CC67" s="195">
        <f t="shared" si="4"/>
        <v>26972</v>
      </c>
      <c r="CD67" s="249" t="s">
        <v>221</v>
      </c>
      <c r="CE67" s="195">
        <f t="shared" si="0"/>
        <v>2710469</v>
      </c>
      <c r="CF67" s="252"/>
    </row>
    <row r="68" spans="1:84" ht="12.6" customHeight="1" x14ac:dyDescent="0.25">
      <c r="A68" s="171" t="s">
        <v>240</v>
      </c>
      <c r="B68" s="175"/>
      <c r="C68" s="184"/>
      <c r="D68" s="184">
        <v>207955</v>
      </c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82073</v>
      </c>
      <c r="AD68" s="185"/>
      <c r="AE68" s="185">
        <v>4282</v>
      </c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476</v>
      </c>
      <c r="AZ68" s="185"/>
      <c r="BA68" s="185"/>
      <c r="BB68" s="185"/>
      <c r="BC68" s="185"/>
      <c r="BD68" s="185">
        <f>7794+77342</f>
        <v>85136</v>
      </c>
      <c r="BE68" s="185">
        <v>2571</v>
      </c>
      <c r="BF68" s="185">
        <v>3755</v>
      </c>
      <c r="BG68" s="185"/>
      <c r="BH68" s="185"/>
      <c r="BI68" s="185"/>
      <c r="BJ68" s="185"/>
      <c r="BK68" s="185"/>
      <c r="BL68" s="185"/>
      <c r="BM68" s="185"/>
      <c r="BN68" s="185">
        <v>5839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392087</v>
      </c>
      <c r="CF68" s="252"/>
    </row>
    <row r="69" spans="1:84" ht="12.6" customHeight="1" x14ac:dyDescent="0.25">
      <c r="A69" s="171" t="s">
        <v>241</v>
      </c>
      <c r="B69" s="175"/>
      <c r="C69" s="184">
        <v>220</v>
      </c>
      <c r="D69" s="184">
        <f>5413+94+7644+11753</f>
        <v>24904</v>
      </c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>
        <v>72549</v>
      </c>
      <c r="V69" s="185"/>
      <c r="W69" s="184">
        <v>1988</v>
      </c>
      <c r="X69" s="185"/>
      <c r="Y69" s="185">
        <v>1027</v>
      </c>
      <c r="Z69" s="185"/>
      <c r="AA69" s="185"/>
      <c r="AB69" s="185">
        <v>17978</v>
      </c>
      <c r="AC69" s="185">
        <v>3297</v>
      </c>
      <c r="AD69" s="185"/>
      <c r="AE69" s="185">
        <v>756</v>
      </c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f>1734+70</f>
        <v>1804</v>
      </c>
      <c r="AZ69" s="185"/>
      <c r="BA69" s="185">
        <v>161124</v>
      </c>
      <c r="BB69" s="185"/>
      <c r="BC69" s="185"/>
      <c r="BD69" s="185">
        <v>6774</v>
      </c>
      <c r="BE69" s="185">
        <f>146606+16+73</f>
        <v>146695</v>
      </c>
      <c r="BF69" s="185">
        <f>820+927</f>
        <v>1747</v>
      </c>
      <c r="BG69" s="185"/>
      <c r="BH69" s="224"/>
      <c r="BI69" s="185">
        <v>337</v>
      </c>
      <c r="BJ69" s="185">
        <v>18515</v>
      </c>
      <c r="BK69" s="185"/>
      <c r="BL69" s="185">
        <f>59657+1328</f>
        <v>60985</v>
      </c>
      <c r="BM69" s="185"/>
      <c r="BN69" s="185">
        <f>551910+2523452+129708</f>
        <v>3205070</v>
      </c>
      <c r="BO69" s="185"/>
      <c r="BP69" s="185"/>
      <c r="BQ69" s="185"/>
      <c r="BR69" s="185">
        <v>97</v>
      </c>
      <c r="BS69" s="185"/>
      <c r="BT69" s="185"/>
      <c r="BU69" s="185"/>
      <c r="BV69" s="185">
        <v>14</v>
      </c>
      <c r="BW69" s="185"/>
      <c r="BX69" s="185">
        <v>1349</v>
      </c>
      <c r="BY69" s="185">
        <v>6324</v>
      </c>
      <c r="BZ69" s="185"/>
      <c r="CA69" s="185">
        <v>17606</v>
      </c>
      <c r="CB69" s="185"/>
      <c r="CC69" s="185">
        <f>94633+36400+11783+9662+553+45997+38699+15408+3157</f>
        <v>256292</v>
      </c>
      <c r="CD69" s="188">
        <f>1312881+4453</f>
        <v>1317334</v>
      </c>
      <c r="CE69" s="195">
        <f t="shared" si="0"/>
        <v>5324786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78014</v>
      </c>
      <c r="CE70" s="195">
        <f t="shared" si="0"/>
        <v>78014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861296.83000000007</v>
      </c>
      <c r="D71" s="195">
        <f t="shared" ref="D71:AI71" si="5">SUM(D61:D69)-D70</f>
        <v>11214784.120000001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48536</v>
      </c>
      <c r="T71" s="195">
        <f t="shared" si="5"/>
        <v>0</v>
      </c>
      <c r="U71" s="195">
        <f t="shared" si="5"/>
        <v>1133878.67</v>
      </c>
      <c r="V71" s="195">
        <f t="shared" si="5"/>
        <v>10849</v>
      </c>
      <c r="W71" s="195">
        <f t="shared" si="5"/>
        <v>14147</v>
      </c>
      <c r="X71" s="195">
        <f t="shared" si="5"/>
        <v>338639</v>
      </c>
      <c r="Y71" s="195">
        <f t="shared" si="5"/>
        <v>400033.5</v>
      </c>
      <c r="Z71" s="195">
        <f t="shared" si="5"/>
        <v>0</v>
      </c>
      <c r="AA71" s="195">
        <f t="shared" si="5"/>
        <v>0</v>
      </c>
      <c r="AB71" s="195">
        <f t="shared" si="5"/>
        <v>3049554.55</v>
      </c>
      <c r="AC71" s="195">
        <f t="shared" si="5"/>
        <v>1820378.78</v>
      </c>
      <c r="AD71" s="195">
        <f t="shared" si="5"/>
        <v>1184084</v>
      </c>
      <c r="AE71" s="195">
        <f t="shared" si="5"/>
        <v>825572</v>
      </c>
      <c r="AF71" s="195">
        <f t="shared" si="5"/>
        <v>0</v>
      </c>
      <c r="AG71" s="195">
        <f t="shared" si="5"/>
        <v>0</v>
      </c>
      <c r="AH71" s="195">
        <f t="shared" si="5"/>
        <v>2232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450569</v>
      </c>
      <c r="AL71" s="195">
        <f t="shared" si="6"/>
        <v>209082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>SUM(AY61:AY69)-AY70</f>
        <v>1122422.81</v>
      </c>
      <c r="AZ71" s="195">
        <f t="shared" si="6"/>
        <v>0</v>
      </c>
      <c r="BA71" s="195">
        <f t="shared" si="6"/>
        <v>181896</v>
      </c>
      <c r="BB71" s="195">
        <f t="shared" si="6"/>
        <v>0</v>
      </c>
      <c r="BC71" s="195">
        <f t="shared" si="6"/>
        <v>0</v>
      </c>
      <c r="BD71" s="195">
        <f t="shared" si="6"/>
        <v>463177.03</v>
      </c>
      <c r="BE71" s="195">
        <f t="shared" si="6"/>
        <v>1685621</v>
      </c>
      <c r="BF71" s="195">
        <f t="shared" si="6"/>
        <v>876608.54</v>
      </c>
      <c r="BG71" s="195">
        <f t="shared" si="6"/>
        <v>0</v>
      </c>
      <c r="BH71" s="195">
        <f t="shared" si="6"/>
        <v>0</v>
      </c>
      <c r="BI71" s="195">
        <f t="shared" si="6"/>
        <v>208879.32</v>
      </c>
      <c r="BJ71" s="195">
        <f t="shared" si="6"/>
        <v>296196.40000000002</v>
      </c>
      <c r="BK71" s="195">
        <f t="shared" si="6"/>
        <v>0</v>
      </c>
      <c r="BL71" s="195">
        <f t="shared" si="6"/>
        <v>1615592.51</v>
      </c>
      <c r="BM71" s="195">
        <f t="shared" si="6"/>
        <v>0</v>
      </c>
      <c r="BN71" s="195">
        <f t="shared" si="6"/>
        <v>6067940.29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14592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189742.5</v>
      </c>
      <c r="BW71" s="195">
        <f t="shared" si="7"/>
        <v>4568</v>
      </c>
      <c r="BX71" s="195">
        <f t="shared" si="7"/>
        <v>628936.19000000006</v>
      </c>
      <c r="BY71" s="195">
        <f t="shared" si="7"/>
        <v>1926928.43</v>
      </c>
      <c r="BZ71" s="195">
        <f t="shared" si="7"/>
        <v>0</v>
      </c>
      <c r="CA71" s="195">
        <f t="shared" si="7"/>
        <v>327191.82</v>
      </c>
      <c r="CB71" s="195">
        <f t="shared" si="7"/>
        <v>0</v>
      </c>
      <c r="CC71" s="195">
        <f t="shared" si="7"/>
        <v>854909.52</v>
      </c>
      <c r="CD71" s="245">
        <f>CD69-CD70</f>
        <v>1239320</v>
      </c>
      <c r="CE71" s="195">
        <f>SUM(CE61:CE69)-CE70</f>
        <v>39268158.810000002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5899846</v>
      </c>
      <c r="D73" s="184">
        <f>68624442+1461037+747525+80283</f>
        <v>70913287</v>
      </c>
      <c r="E73" s="185"/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>
        <f>6758914+2838621+650304</f>
        <v>10247839</v>
      </c>
      <c r="V73" s="185">
        <f>3448+129925</f>
        <v>133373</v>
      </c>
      <c r="W73" s="185">
        <v>63223</v>
      </c>
      <c r="X73" s="185">
        <f>4954+1188812+277556</f>
        <v>1471322</v>
      </c>
      <c r="Y73" s="185">
        <v>749978</v>
      </c>
      <c r="Z73" s="185"/>
      <c r="AA73" s="185"/>
      <c r="AB73" s="185">
        <v>20272198</v>
      </c>
      <c r="AC73" s="185">
        <f>17660582+1907</f>
        <v>17662489</v>
      </c>
      <c r="AD73" s="185">
        <v>3745209</v>
      </c>
      <c r="AE73" s="185">
        <v>1924440</v>
      </c>
      <c r="AF73" s="185"/>
      <c r="AG73" s="185"/>
      <c r="AH73" s="185"/>
      <c r="AI73" s="185"/>
      <c r="AJ73" s="185"/>
      <c r="AK73" s="185">
        <v>1284565</v>
      </c>
      <c r="AL73" s="185">
        <v>697328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135065097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5899846</v>
      </c>
      <c r="D75" s="195">
        <f t="shared" si="9"/>
        <v>70913287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10247839</v>
      </c>
      <c r="V75" s="195">
        <f t="shared" si="9"/>
        <v>133373</v>
      </c>
      <c r="W75" s="195">
        <f t="shared" si="9"/>
        <v>63223</v>
      </c>
      <c r="X75" s="195">
        <f t="shared" si="9"/>
        <v>1471322</v>
      </c>
      <c r="Y75" s="195">
        <f t="shared" si="9"/>
        <v>749978</v>
      </c>
      <c r="Z75" s="195">
        <f t="shared" si="9"/>
        <v>0</v>
      </c>
      <c r="AA75" s="195">
        <f t="shared" si="9"/>
        <v>0</v>
      </c>
      <c r="AB75" s="195">
        <f t="shared" si="9"/>
        <v>20272198</v>
      </c>
      <c r="AC75" s="195">
        <f t="shared" si="9"/>
        <v>17662489</v>
      </c>
      <c r="AD75" s="195">
        <f t="shared" si="9"/>
        <v>3745209</v>
      </c>
      <c r="AE75" s="195">
        <f t="shared" si="9"/>
        <v>1924440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1284565</v>
      </c>
      <c r="AL75" s="195">
        <f t="shared" si="9"/>
        <v>697328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135065097</v>
      </c>
      <c r="CF75" s="252"/>
    </row>
    <row r="76" spans="1:84" ht="12.6" customHeight="1" x14ac:dyDescent="0.25">
      <c r="A76" s="171" t="s">
        <v>248</v>
      </c>
      <c r="B76" s="175"/>
      <c r="C76" s="184">
        <v>3627</v>
      </c>
      <c r="D76" s="184">
        <v>17065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>
        <v>1445</v>
      </c>
      <c r="T76" s="185"/>
      <c r="U76" s="185">
        <v>496</v>
      </c>
      <c r="V76" s="185"/>
      <c r="W76" s="185"/>
      <c r="X76" s="185"/>
      <c r="Y76" s="185">
        <v>435</v>
      </c>
      <c r="Z76" s="185"/>
      <c r="AA76" s="185"/>
      <c r="AB76" s="185">
        <v>1518</v>
      </c>
      <c r="AC76" s="185">
        <v>858</v>
      </c>
      <c r="AD76" s="185"/>
      <c r="AE76" s="185">
        <v>4324</v>
      </c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4410</v>
      </c>
      <c r="AZ76" s="185"/>
      <c r="BA76" s="185">
        <v>617</v>
      </c>
      <c r="BB76" s="185"/>
      <c r="BC76" s="185"/>
      <c r="BD76" s="185">
        <v>1771</v>
      </c>
      <c r="BE76" s="185">
        <v>7904</v>
      </c>
      <c r="BF76" s="185">
        <v>3377</v>
      </c>
      <c r="BG76" s="185"/>
      <c r="BH76" s="185"/>
      <c r="BI76" s="185"/>
      <c r="BJ76" s="185">
        <v>444</v>
      </c>
      <c r="BK76" s="185"/>
      <c r="BL76" s="185">
        <v>13517</v>
      </c>
      <c r="BM76" s="185"/>
      <c r="BN76" s="185">
        <v>14168</v>
      </c>
      <c r="BO76" s="185"/>
      <c r="BP76" s="185"/>
      <c r="BQ76" s="185"/>
      <c r="BR76" s="185">
        <v>394</v>
      </c>
      <c r="BS76" s="185"/>
      <c r="BT76" s="185"/>
      <c r="BU76" s="185"/>
      <c r="BV76" s="185">
        <v>958</v>
      </c>
      <c r="BW76" s="185">
        <v>136</v>
      </c>
      <c r="BX76" s="185">
        <v>281</v>
      </c>
      <c r="BY76" s="185">
        <v>1379</v>
      </c>
      <c r="BZ76" s="185"/>
      <c r="CA76" s="185">
        <v>768</v>
      </c>
      <c r="CB76" s="185"/>
      <c r="CC76" s="185">
        <v>803</v>
      </c>
      <c r="CD76" s="249" t="s">
        <v>221</v>
      </c>
      <c r="CE76" s="195">
        <f t="shared" si="8"/>
        <v>80695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>
        <v>42524</v>
      </c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42524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1373.14</v>
      </c>
      <c r="D78" s="184">
        <v>24874.16</v>
      </c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26247.3</v>
      </c>
      <c r="CF78" s="195"/>
    </row>
    <row r="79" spans="1:84" ht="12.6" customHeight="1" x14ac:dyDescent="0.25">
      <c r="A79" s="171" t="s">
        <v>251</v>
      </c>
      <c r="B79" s="175"/>
      <c r="C79" s="225">
        <v>47992.85</v>
      </c>
      <c r="D79" s="225">
        <v>128619.92</v>
      </c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1919.83</v>
      </c>
      <c r="T79" s="184"/>
      <c r="U79" s="184">
        <v>1919.83</v>
      </c>
      <c r="V79" s="184"/>
      <c r="W79" s="184"/>
      <c r="X79" s="184"/>
      <c r="Y79" s="184">
        <v>1919.83</v>
      </c>
      <c r="Z79" s="184"/>
      <c r="AA79" s="184"/>
      <c r="AB79" s="184"/>
      <c r="AC79" s="184">
        <v>9598.43</v>
      </c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191970.68999999994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10.38</v>
      </c>
      <c r="D80" s="187">
        <v>96.950854700854705</v>
      </c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107.3308547008547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1281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1280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463</v>
      </c>
      <c r="D111" s="174">
        <v>19822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70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80</v>
      </c>
    </row>
    <row r="128" spans="1:5" ht="12.6" customHeight="1" x14ac:dyDescent="0.25">
      <c r="A128" s="173" t="s">
        <v>292</v>
      </c>
      <c r="B128" s="172" t="s">
        <v>256</v>
      </c>
      <c r="C128" s="189">
        <v>80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221</v>
      </c>
      <c r="C138" s="189">
        <v>9</v>
      </c>
      <c r="D138" s="174">
        <v>233</v>
      </c>
      <c r="E138" s="175">
        <f>SUM(B138:D138)</f>
        <v>463</v>
      </c>
    </row>
    <row r="139" spans="1:6" ht="12.6" customHeight="1" x14ac:dyDescent="0.25">
      <c r="A139" s="173" t="s">
        <v>215</v>
      </c>
      <c r="B139" s="174">
        <v>7921</v>
      </c>
      <c r="C139" s="189">
        <v>532</v>
      </c>
      <c r="D139" s="174">
        <v>11369</v>
      </c>
      <c r="E139" s="175">
        <f>SUM(B139:D139)</f>
        <v>19822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60055883</v>
      </c>
      <c r="C141" s="189">
        <v>3328092</v>
      </c>
      <c r="D141" s="174">
        <v>71681123</v>
      </c>
      <c r="E141" s="175">
        <f>SUM(B141:D141)</f>
        <v>135065098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1217319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58961+16576</f>
        <v>75537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330579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746304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67712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16118</f>
        <v>16118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155766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2609335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392088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392088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120920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85585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206505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23250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1083127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1106377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4453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4453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3225342.16</v>
      </c>
      <c r="C195" s="189">
        <v>3225879.87</v>
      </c>
      <c r="D195" s="174"/>
      <c r="E195" s="175">
        <f t="shared" ref="E195:E203" si="10">SUM(B195:C195)-D195</f>
        <v>6451222.0300000003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41895357.659999996</v>
      </c>
      <c r="C197" s="189"/>
      <c r="D197" s="174">
        <v>33996608.899999999</v>
      </c>
      <c r="E197" s="175">
        <f t="shared" si="10"/>
        <v>7898748.7599999979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f>3024325.07+2103544</f>
        <v>5127869.07</v>
      </c>
      <c r="C200" s="189"/>
      <c r="D200" s="174">
        <f>2427551.69+1783957.89</f>
        <v>4211509.58</v>
      </c>
      <c r="E200" s="175">
        <f t="shared" si="10"/>
        <v>916359.49000000022</v>
      </c>
    </row>
    <row r="201" spans="1:8" ht="12.6" customHeight="1" x14ac:dyDescent="0.25">
      <c r="A201" s="173" t="s">
        <v>338</v>
      </c>
      <c r="B201" s="174">
        <f>500246.49+402112.97+572074.42+15146.13</f>
        <v>1489580.0099999998</v>
      </c>
      <c r="C201" s="189"/>
      <c r="D201" s="174">
        <f>448458.64+396504.32+539462.24+13966.83</f>
        <v>1398392.03</v>
      </c>
      <c r="E201" s="175">
        <f t="shared" si="10"/>
        <v>91187.979999999749</v>
      </c>
    </row>
    <row r="202" spans="1:8" ht="12.6" customHeight="1" x14ac:dyDescent="0.25">
      <c r="A202" s="173" t="s">
        <v>339</v>
      </c>
      <c r="B202" s="174">
        <v>354226.99</v>
      </c>
      <c r="C202" s="189"/>
      <c r="D202" s="174">
        <v>339234.02</v>
      </c>
      <c r="E202" s="175">
        <f t="shared" si="10"/>
        <v>14992.969999999972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52092375.889999993</v>
      </c>
      <c r="C204" s="191">
        <f>SUM(C195:C203)</f>
        <v>3225879.87</v>
      </c>
      <c r="D204" s="175">
        <f>SUM(D195:D203)</f>
        <v>39945744.530000001</v>
      </c>
      <c r="E204" s="175">
        <f>SUM(E195:E203)</f>
        <v>15372511.23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f>28373.45+116127.23</f>
        <v>144500.68</v>
      </c>
      <c r="C209" s="189"/>
      <c r="D209" s="174">
        <f>28015.86+113626.64</f>
        <v>141642.5</v>
      </c>
      <c r="E209" s="175">
        <f t="shared" ref="E209:E216" si="11">SUM(B209:C209)-D209</f>
        <v>2858.179999999993</v>
      </c>
      <c r="H209" s="259"/>
    </row>
    <row r="210" spans="1:8" ht="12.6" customHeight="1" x14ac:dyDescent="0.25">
      <c r="A210" s="173" t="s">
        <v>334</v>
      </c>
      <c r="B210" s="174">
        <f>10437104.91+9510.21+1790671.95+5152368.89</f>
        <v>17389655.960000001</v>
      </c>
      <c r="C210" s="189"/>
      <c r="D210" s="174">
        <f>10354528.54+9510.21+1722207.6+5152065.42</f>
        <v>17238311.77</v>
      </c>
      <c r="E210" s="175">
        <f t="shared" si="11"/>
        <v>151344.19000000134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f>1914131.87+1792567.08</f>
        <v>3706698.95</v>
      </c>
      <c r="C213" s="189"/>
      <c r="D213" s="174">
        <f>1849011.95+1756702.66</f>
        <v>3605714.61</v>
      </c>
      <c r="E213" s="175">
        <f t="shared" si="11"/>
        <v>100984.34000000032</v>
      </c>
      <c r="H213" s="259"/>
    </row>
    <row r="214" spans="1:8" ht="12.6" customHeight="1" x14ac:dyDescent="0.25">
      <c r="A214" s="173" t="s">
        <v>338</v>
      </c>
      <c r="B214" s="174">
        <f>339237.17+394548.61+465274.29+12462.03</f>
        <v>1211522.1000000001</v>
      </c>
      <c r="C214" s="189"/>
      <c r="D214" s="174">
        <f>333580.57+393147.53+460077.69+12170.99</f>
        <v>1198976.78</v>
      </c>
      <c r="E214" s="175">
        <f t="shared" si="11"/>
        <v>12545.320000000065</v>
      </c>
      <c r="H214" s="259"/>
    </row>
    <row r="215" spans="1:8" ht="12.6" customHeight="1" x14ac:dyDescent="0.25">
      <c r="A215" s="173" t="s">
        <v>339</v>
      </c>
      <c r="B215" s="174">
        <f>15026.11+41177.27</f>
        <v>56203.38</v>
      </c>
      <c r="C215" s="189"/>
      <c r="D215" s="174">
        <f>12259.79+40377.65</f>
        <v>52637.440000000002</v>
      </c>
      <c r="E215" s="175">
        <f t="shared" si="11"/>
        <v>3565.9399999999951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22508581.07</v>
      </c>
      <c r="C217" s="191">
        <f>SUM(C208:C216)</f>
        <v>0</v>
      </c>
      <c r="D217" s="175">
        <f>SUM(D208:D216)</f>
        <v>22237283.100000001</v>
      </c>
      <c r="E217" s="175">
        <f>SUM(E208:E216)</f>
        <v>271297.97000000172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3182256</v>
      </c>
      <c r="D221" s="172">
        <f>C221</f>
        <v>3182256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44908612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2498772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46639512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94046896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0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97229152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-69626.429999999993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16121648.73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5434985.2199999997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5851.26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387805.43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10800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11021493.770000001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6451222.0300000003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7898748.7599999998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1007547.47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14992.97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15372511.23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271297.96999999997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15101213.26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-3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-3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26122704.030000001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1440120.52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1055444.3400000001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1866978.13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4362542.99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22524091.010000002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22524091.010000002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22524091.010000002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-763929.97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26122704.030000001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26122704.030000001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70608897+64456201</f>
        <v>135065098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135065098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3182256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94046896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/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97229152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37835946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78014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78014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37913960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18411120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2609335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713029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2041752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612295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3639809+1324035+1567456</f>
        <v>6531300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2710471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392088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206505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1106377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4453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5324786-1312881-4453</f>
        <v>4007452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39346177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-1432217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-1432217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-1432217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Kindred Hospital Seattle Northgate/First Hill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463</v>
      </c>
      <c r="C414" s="194">
        <f>E138</f>
        <v>463</v>
      </c>
      <c r="D414" s="179"/>
    </row>
    <row r="415" spans="1:5" ht="12.6" customHeight="1" x14ac:dyDescent="0.25">
      <c r="A415" s="179" t="s">
        <v>464</v>
      </c>
      <c r="B415" s="179">
        <f>D111</f>
        <v>19822</v>
      </c>
      <c r="C415" s="179">
        <f>E139</f>
        <v>19822</v>
      </c>
      <c r="D415" s="194">
        <f>SUM(C59:H59)+N59</f>
        <v>19822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18411120</v>
      </c>
      <c r="C427" s="179">
        <f t="shared" ref="C427:C434" si="13">CE61</f>
        <v>18411120.810000002</v>
      </c>
      <c r="D427" s="179"/>
    </row>
    <row r="428" spans="1:7" ht="12.6" customHeight="1" x14ac:dyDescent="0.25">
      <c r="A428" s="179" t="s">
        <v>3</v>
      </c>
      <c r="B428" s="179">
        <f t="shared" si="12"/>
        <v>2609335</v>
      </c>
      <c r="C428" s="179">
        <f t="shared" si="13"/>
        <v>2609333</v>
      </c>
      <c r="D428" s="179">
        <f>D173</f>
        <v>2609335</v>
      </c>
    </row>
    <row r="429" spans="1:7" ht="12.6" customHeight="1" x14ac:dyDescent="0.25">
      <c r="A429" s="179" t="s">
        <v>236</v>
      </c>
      <c r="B429" s="179">
        <f t="shared" si="12"/>
        <v>713029</v>
      </c>
      <c r="C429" s="179">
        <f t="shared" si="13"/>
        <v>713029</v>
      </c>
      <c r="D429" s="179"/>
    </row>
    <row r="430" spans="1:7" ht="12.6" customHeight="1" x14ac:dyDescent="0.25">
      <c r="A430" s="179" t="s">
        <v>237</v>
      </c>
      <c r="B430" s="179">
        <f t="shared" si="12"/>
        <v>2041752</v>
      </c>
      <c r="C430" s="179">
        <f t="shared" si="13"/>
        <v>2041754</v>
      </c>
      <c r="D430" s="179"/>
    </row>
    <row r="431" spans="1:7" ht="12.6" customHeight="1" x14ac:dyDescent="0.25">
      <c r="A431" s="179" t="s">
        <v>444</v>
      </c>
      <c r="B431" s="179">
        <f t="shared" si="12"/>
        <v>612295</v>
      </c>
      <c r="C431" s="179">
        <f t="shared" si="13"/>
        <v>612294</v>
      </c>
      <c r="D431" s="179"/>
    </row>
    <row r="432" spans="1:7" ht="12.6" customHeight="1" x14ac:dyDescent="0.25">
      <c r="A432" s="179" t="s">
        <v>445</v>
      </c>
      <c r="B432" s="179">
        <f t="shared" si="12"/>
        <v>6531300</v>
      </c>
      <c r="C432" s="179">
        <f t="shared" si="13"/>
        <v>6531300</v>
      </c>
      <c r="D432" s="179"/>
    </row>
    <row r="433" spans="1:7" ht="12.6" customHeight="1" x14ac:dyDescent="0.25">
      <c r="A433" s="179" t="s">
        <v>6</v>
      </c>
      <c r="B433" s="179">
        <f t="shared" si="12"/>
        <v>2710471</v>
      </c>
      <c r="C433" s="179">
        <f t="shared" si="13"/>
        <v>2710469</v>
      </c>
      <c r="D433" s="179">
        <f>C217</f>
        <v>0</v>
      </c>
    </row>
    <row r="434" spans="1:7" ht="12.6" customHeight="1" x14ac:dyDescent="0.25">
      <c r="A434" s="179" t="s">
        <v>474</v>
      </c>
      <c r="B434" s="179">
        <f t="shared" si="12"/>
        <v>392088</v>
      </c>
      <c r="C434" s="179">
        <f t="shared" si="13"/>
        <v>392087</v>
      </c>
      <c r="D434" s="179">
        <f>D177</f>
        <v>392088</v>
      </c>
    </row>
    <row r="435" spans="1:7" ht="12.6" customHeight="1" x14ac:dyDescent="0.25">
      <c r="A435" s="179" t="s">
        <v>447</v>
      </c>
      <c r="B435" s="179">
        <f t="shared" si="12"/>
        <v>206505</v>
      </c>
      <c r="C435" s="179"/>
      <c r="D435" s="179">
        <f>D181</f>
        <v>206505</v>
      </c>
    </row>
    <row r="436" spans="1:7" ht="12.6" customHeight="1" x14ac:dyDescent="0.25">
      <c r="A436" s="179" t="s">
        <v>475</v>
      </c>
      <c r="B436" s="179">
        <f t="shared" si="12"/>
        <v>1106377</v>
      </c>
      <c r="C436" s="179"/>
      <c r="D436" s="179">
        <f>D186</f>
        <v>1106377</v>
      </c>
    </row>
    <row r="437" spans="1:7" ht="12.6" customHeight="1" x14ac:dyDescent="0.25">
      <c r="A437" s="194" t="s">
        <v>449</v>
      </c>
      <c r="B437" s="194">
        <f t="shared" si="12"/>
        <v>4453</v>
      </c>
      <c r="C437" s="194"/>
      <c r="D437" s="194">
        <f>D190</f>
        <v>4453</v>
      </c>
    </row>
    <row r="438" spans="1:7" ht="12.6" customHeight="1" x14ac:dyDescent="0.25">
      <c r="A438" s="194" t="s">
        <v>476</v>
      </c>
      <c r="B438" s="194">
        <f>C386+C387+C388</f>
        <v>1317335</v>
      </c>
      <c r="C438" s="194">
        <f>CD69</f>
        <v>1317334</v>
      </c>
      <c r="D438" s="194">
        <f>D181+D186+D190</f>
        <v>1317335</v>
      </c>
    </row>
    <row r="439" spans="1:7" ht="12.6" customHeight="1" x14ac:dyDescent="0.25">
      <c r="A439" s="179" t="s">
        <v>451</v>
      </c>
      <c r="B439" s="194">
        <f>C389</f>
        <v>4007452</v>
      </c>
      <c r="C439" s="194">
        <f>SUM(C69:CC69)</f>
        <v>4007452</v>
      </c>
      <c r="D439" s="179"/>
    </row>
    <row r="440" spans="1:7" ht="12.6" customHeight="1" x14ac:dyDescent="0.25">
      <c r="A440" s="179" t="s">
        <v>477</v>
      </c>
      <c r="B440" s="194">
        <f>B438+B439</f>
        <v>5324787</v>
      </c>
      <c r="C440" s="194">
        <f>CE69</f>
        <v>5324786</v>
      </c>
      <c r="D440" s="179"/>
    </row>
    <row r="441" spans="1:7" ht="12.6" customHeight="1" x14ac:dyDescent="0.25">
      <c r="A441" s="179" t="s">
        <v>478</v>
      </c>
      <c r="B441" s="179">
        <f>D390</f>
        <v>39346177</v>
      </c>
      <c r="C441" s="179">
        <f>SUM(C427:C437)+C440</f>
        <v>39346172.810000002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3182256</v>
      </c>
      <c r="C444" s="179">
        <f>C363</f>
        <v>3182256</v>
      </c>
      <c r="D444" s="179"/>
    </row>
    <row r="445" spans="1:7" ht="12.6" customHeight="1" x14ac:dyDescent="0.25">
      <c r="A445" s="179" t="s">
        <v>343</v>
      </c>
      <c r="B445" s="179">
        <f>D229</f>
        <v>94046896</v>
      </c>
      <c r="C445" s="179">
        <f>C364</f>
        <v>94046896</v>
      </c>
      <c r="D445" s="179"/>
    </row>
    <row r="446" spans="1:7" ht="12.6" customHeight="1" x14ac:dyDescent="0.25">
      <c r="A446" s="179" t="s">
        <v>351</v>
      </c>
      <c r="B446" s="179">
        <f>D236</f>
        <v>0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97229152</v>
      </c>
      <c r="C448" s="179">
        <f>D367</f>
        <v>97229152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78014</v>
      </c>
      <c r="C458" s="194">
        <f>CE70</f>
        <v>78014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135065098</v>
      </c>
      <c r="C463" s="194">
        <f>CE73</f>
        <v>135065097</v>
      </c>
      <c r="D463" s="194">
        <f>E141+E147+E153</f>
        <v>135065098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135065098</v>
      </c>
      <c r="C465" s="194">
        <f>CE75</f>
        <v>135065097</v>
      </c>
      <c r="D465" s="194">
        <f>D463+D464</f>
        <v>135065098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6451222.0300000003</v>
      </c>
      <c r="C468" s="179">
        <f>E195</f>
        <v>6451222.0300000003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7898748.7599999998</v>
      </c>
      <c r="C470" s="179">
        <f>E197</f>
        <v>7898748.7599999979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1007547.47</v>
      </c>
      <c r="C473" s="179">
        <f>SUM(E200:E201)</f>
        <v>1007547.47</v>
      </c>
      <c r="D473" s="179"/>
    </row>
    <row r="474" spans="1:7" ht="12.6" customHeight="1" x14ac:dyDescent="0.25">
      <c r="A474" s="179" t="s">
        <v>339</v>
      </c>
      <c r="B474" s="179">
        <f t="shared" si="14"/>
        <v>14992.97</v>
      </c>
      <c r="C474" s="179">
        <f>E202</f>
        <v>14992.969999999972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15372511.23</v>
      </c>
      <c r="C476" s="179">
        <f>E204</f>
        <v>15372511.23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271297.96999999997</v>
      </c>
      <c r="C478" s="179">
        <f>E217</f>
        <v>271297.97000000172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26122704.030000001</v>
      </c>
    </row>
    <row r="482" spans="1:12" ht="12.6" customHeight="1" x14ac:dyDescent="0.25">
      <c r="A482" s="180" t="s">
        <v>499</v>
      </c>
      <c r="C482" s="180">
        <f>D339</f>
        <v>26122704.030000001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1495704.7199999997</v>
      </c>
      <c r="C496" s="240">
        <f>C71</f>
        <v>861296.83000000007</v>
      </c>
      <c r="D496" s="240">
        <f>'Prior Year'!C59</f>
        <v>1191</v>
      </c>
      <c r="E496" s="180">
        <f>C59</f>
        <v>1037</v>
      </c>
      <c r="F496" s="263">
        <f t="shared" ref="F496:G511" si="15">IF(B496=0,"",IF(D496=0,"",B496/D496))</f>
        <v>1255.8393954659948</v>
      </c>
      <c r="G496" s="264">
        <f t="shared" si="15"/>
        <v>830.5658919961428</v>
      </c>
      <c r="H496" s="265">
        <f>IF(B496=0,"",IF(C496=0,"",IF(D496=0,"",IF(E496=0,"",IF(G496/F496-1&lt;-0.25,G496/F496-1,IF(G496/F496-1&gt;0.25,G496/F496-1,""))))))</f>
        <v>-0.33863685516255759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11214784.120000001</v>
      </c>
      <c r="D497" s="240">
        <f>'Prior Year'!D59</f>
        <v>0</v>
      </c>
      <c r="E497" s="180">
        <f>D59</f>
        <v>18785</v>
      </c>
      <c r="F497" s="263" t="str">
        <f t="shared" si="15"/>
        <v/>
      </c>
      <c r="G497" s="263">
        <f t="shared" si="15"/>
        <v>597.00740590896999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10962527.67</v>
      </c>
      <c r="C498" s="240">
        <f>E71</f>
        <v>0</v>
      </c>
      <c r="D498" s="240">
        <f>'Prior Year'!E59</f>
        <v>19466</v>
      </c>
      <c r="E498" s="180">
        <f>E59</f>
        <v>0</v>
      </c>
      <c r="F498" s="263">
        <f t="shared" si="15"/>
        <v>563.16283109010578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317788.06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48629</v>
      </c>
      <c r="C512" s="240">
        <f>S71</f>
        <v>48536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1270582.6600000001</v>
      </c>
      <c r="C514" s="240">
        <f>U71</f>
        <v>1133878.67</v>
      </c>
      <c r="D514" s="240">
        <f>'Prior Year'!U59</f>
        <v>120533</v>
      </c>
      <c r="E514" s="180">
        <f>U59</f>
        <v>118083</v>
      </c>
      <c r="F514" s="263">
        <f t="shared" si="17"/>
        <v>10.541367592277634</v>
      </c>
      <c r="G514" s="263">
        <f t="shared" si="17"/>
        <v>9.6023870497870139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10849</v>
      </c>
      <c r="D515" s="240">
        <f>'Prior Year'!V59</f>
        <v>0</v>
      </c>
      <c r="E515" s="180">
        <f>V59</f>
        <v>525</v>
      </c>
      <c r="F515" s="263" t="str">
        <f t="shared" si="17"/>
        <v/>
      </c>
      <c r="G515" s="263">
        <f t="shared" si="17"/>
        <v>20.664761904761903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14147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330172.60000000003</v>
      </c>
      <c r="C517" s="240">
        <f>X71</f>
        <v>338639</v>
      </c>
      <c r="D517" s="240">
        <f>'Prior Year'!X59</f>
        <v>366</v>
      </c>
      <c r="E517" s="180">
        <f>X59</f>
        <v>0</v>
      </c>
      <c r="F517" s="263">
        <f t="shared" si="17"/>
        <v>902.11092896174875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449498.18</v>
      </c>
      <c r="C518" s="240">
        <f>Y71</f>
        <v>400033.5</v>
      </c>
      <c r="D518" s="240">
        <f>'Prior Year'!Y59</f>
        <v>2803</v>
      </c>
      <c r="E518" s="180">
        <f>Y59</f>
        <v>3362</v>
      </c>
      <c r="F518" s="263">
        <f t="shared" si="17"/>
        <v>160.36324652158402</v>
      </c>
      <c r="G518" s="263">
        <f t="shared" si="17"/>
        <v>118.98676383105294</v>
      </c>
      <c r="H518" s="265">
        <f t="shared" si="16"/>
        <v>-0.25801724265392711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3291079.3000000003</v>
      </c>
      <c r="C521" s="240">
        <f>AB71</f>
        <v>3049554.55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1796515.8400000001</v>
      </c>
      <c r="C522" s="240">
        <f>AC71</f>
        <v>1820378.78</v>
      </c>
      <c r="D522" s="240">
        <f>'Prior Year'!AC59</f>
        <v>55049</v>
      </c>
      <c r="E522" s="180">
        <f>AC59</f>
        <v>58351</v>
      </c>
      <c r="F522" s="263">
        <f t="shared" si="17"/>
        <v>32.634849679376558</v>
      </c>
      <c r="G522" s="263">
        <f t="shared" si="17"/>
        <v>31.19704512347689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1050579.1800000002</v>
      </c>
      <c r="C523" s="240">
        <f>AD71</f>
        <v>1184084</v>
      </c>
      <c r="D523" s="240">
        <f>'Prior Year'!AD59</f>
        <v>1864</v>
      </c>
      <c r="E523" s="180">
        <f>AD59</f>
        <v>2373</v>
      </c>
      <c r="F523" s="263">
        <f t="shared" si="17"/>
        <v>563.61543991416318</v>
      </c>
      <c r="G523" s="263">
        <f t="shared" si="17"/>
        <v>498.9818794774547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1541703.05</v>
      </c>
      <c r="C524" s="240">
        <f>AE71</f>
        <v>825572</v>
      </c>
      <c r="D524" s="240">
        <f>'Prior Year'!AE59</f>
        <v>16734</v>
      </c>
      <c r="E524" s="180">
        <f>AE59</f>
        <v>13944</v>
      </c>
      <c r="F524" s="263">
        <f t="shared" si="17"/>
        <v>92.129977889327122</v>
      </c>
      <c r="G524" s="263">
        <f t="shared" si="17"/>
        <v>59.206253585771655</v>
      </c>
      <c r="H524" s="265">
        <f t="shared" si="16"/>
        <v>-0.35736168680194103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2232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450569</v>
      </c>
      <c r="D530" s="240">
        <f>'Prior Year'!AK59</f>
        <v>10515</v>
      </c>
      <c r="E530" s="180">
        <f>AK59</f>
        <v>8818</v>
      </c>
      <c r="F530" s="263" t="str">
        <f t="shared" si="18"/>
        <v/>
      </c>
      <c r="G530" s="263">
        <f t="shared" si="18"/>
        <v>51.096507144477208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209082</v>
      </c>
      <c r="D531" s="240">
        <f>'Prior Year'!AL59</f>
        <v>4053</v>
      </c>
      <c r="E531" s="180">
        <f>AL59</f>
        <v>4649</v>
      </c>
      <c r="F531" s="263" t="str">
        <f t="shared" si="18"/>
        <v/>
      </c>
      <c r="G531" s="263">
        <f t="shared" si="18"/>
        <v>44.973542697354269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1137424.2900000003</v>
      </c>
      <c r="C544" s="240">
        <f>AY71</f>
        <v>1122422.81</v>
      </c>
      <c r="D544" s="240">
        <f>'Prior Year'!AY59</f>
        <v>48373</v>
      </c>
      <c r="E544" s="180">
        <f>AY59</f>
        <v>42524</v>
      </c>
      <c r="F544" s="263">
        <f t="shared" ref="F544:G550" si="19">IF(B544=0,"",IF(D544=0,"",B544/D544))</f>
        <v>23.513618960990641</v>
      </c>
      <c r="G544" s="263">
        <f t="shared" si="19"/>
        <v>26.395043034521684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206987.36</v>
      </c>
      <c r="C546" s="240">
        <f>BA71</f>
        <v>181896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628802.79</v>
      </c>
      <c r="C549" s="240">
        <f>BD71</f>
        <v>463177.03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1750526.5799999998</v>
      </c>
      <c r="C550" s="240">
        <f>BE71</f>
        <v>1685621</v>
      </c>
      <c r="D550" s="240">
        <f>'Prior Year'!BE59</f>
        <v>80695</v>
      </c>
      <c r="E550" s="180">
        <f>BE59</f>
        <v>80695</v>
      </c>
      <c r="F550" s="263">
        <f t="shared" si="19"/>
        <v>21.693123241836542</v>
      </c>
      <c r="G550" s="263">
        <f t="shared" si="19"/>
        <v>20.888791127083461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899918.19</v>
      </c>
      <c r="C551" s="240">
        <f>BF71</f>
        <v>876608.54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225164.77</v>
      </c>
      <c r="C554" s="240">
        <f>BI71</f>
        <v>208879.32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212427.91</v>
      </c>
      <c r="C555" s="240">
        <f>BJ71</f>
        <v>296196.40000000002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1550932.53</v>
      </c>
      <c r="C557" s="240">
        <f>BL71</f>
        <v>1615592.51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6267338.7800000003</v>
      </c>
      <c r="C559" s="240">
        <f>BN71</f>
        <v>6067940.29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39256.679999999993</v>
      </c>
      <c r="C563" s="240">
        <f>BR71</f>
        <v>14592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194951.36</v>
      </c>
      <c r="C567" s="240">
        <f>BV71</f>
        <v>189742.5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82924</v>
      </c>
      <c r="C568" s="240">
        <f>BW71</f>
        <v>4568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774205</v>
      </c>
      <c r="C569" s="240">
        <f>BX71</f>
        <v>628936.19000000006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1756486.0499999998</v>
      </c>
      <c r="C570" s="240">
        <f>BY71</f>
        <v>1926928.43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300133.28000000003</v>
      </c>
      <c r="C572" s="240">
        <f>CA71</f>
        <v>327191.82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784082.7200000002</v>
      </c>
      <c r="C574" s="240">
        <f>CC71</f>
        <v>854909.52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1321185</v>
      </c>
      <c r="C575" s="240">
        <f>CD71</f>
        <v>1239320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72791</v>
      </c>
      <c r="E612" s="180">
        <f>SUM(C624:D647)+SUM(C668:D713)</f>
        <v>31429695.838106364</v>
      </c>
      <c r="F612" s="180">
        <f>CE64-(AX64+BD64+BE64+BG64+BJ64+BN64+BP64+BQ64+CB64+CC64+CD64)</f>
        <v>1845203</v>
      </c>
      <c r="G612" s="180">
        <f>CE77-(AX77+AY77+BD77+BE77+BG77+BJ77+BN77+BP77+BQ77+CB77+CC77+CD77)</f>
        <v>42524</v>
      </c>
      <c r="H612" s="197">
        <f>CE60-(AX60+AY60+AZ60+BD60+BE60+BG60+BJ60+BN60+BO60+BP60+BQ60+BR60+CB60+CC60+CD60)</f>
        <v>194.47812499999998</v>
      </c>
      <c r="I612" s="180">
        <f>CE78-(AX78+AY78+AZ78+BD78+BE78+BF78+BG78+BJ78+BN78+BO78+BP78+BQ78+BR78+CB78+CC78+CD78)</f>
        <v>26247.3</v>
      </c>
      <c r="J612" s="180">
        <f>CE79-(AX79+AY79+AZ79+BA79+BD79+BE79+BF79+BG79+BJ79+BN79+BO79+BP79+BQ79+BR79+CB79+CC79+CD79)</f>
        <v>191970.68999999994</v>
      </c>
      <c r="K612" s="180">
        <f>CE75-(AW75+AX75+AY75+AZ75+BA75+BB75+BC75+BD75+BE75+BF75+BG75+BH75+BI75+BJ75+BK75+BL75+BM75+BN75+BO75+BP75+BQ75+BR75+BS75+BT75+BU75+BV75+BW75+BX75+CB75+CC75+CD75)</f>
        <v>135065097</v>
      </c>
      <c r="L612" s="197">
        <f>CE80-(AW80+AX80+AY80+AZ80+BA80+BB80+BC80+BD80+BE80+BF80+BG80+BH80+BI80+BJ80+BK80+BL80+BM80+BN80+BO80+BP80+BQ80+BR80+BS80+BT80+BU80+BV80+BW80+BX80+BY80+BZ80+CA80+CB80+CC80+CD80)</f>
        <v>107.3308547008547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1685621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1239320</v>
      </c>
      <c r="D615" s="266">
        <f>SUM(C614:C615)</f>
        <v>2924941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296196.40000000002</v>
      </c>
      <c r="D617" s="180">
        <f>(D615/D612)*BJ76</f>
        <v>17841.131513511285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6067940.29</v>
      </c>
      <c r="D619" s="180">
        <f>(D615/D612)*BN76</f>
        <v>569308.89928699972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854909.52</v>
      </c>
      <c r="D620" s="180">
        <f>(D615/D612)*CC76</f>
        <v>32266.731093129645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7838462.9718936412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463177.03</v>
      </c>
      <c r="D624" s="180">
        <f>(D615/D612)*BD76</f>
        <v>71163.612410874965</v>
      </c>
      <c r="E624" s="180">
        <f>(E623/E612)*SUM(C624:D624)</f>
        <v>133262.80220750161</v>
      </c>
      <c r="F624" s="180">
        <f>SUM(C624:E624)</f>
        <v>667603.44461837655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1122422.81</v>
      </c>
      <c r="D625" s="180">
        <f>(D615/D612)*AY76</f>
        <v>177205.83327609181</v>
      </c>
      <c r="E625" s="180">
        <f>(E623/E612)*SUM(C625:D625)</f>
        <v>324123.11751298793</v>
      </c>
      <c r="F625" s="180">
        <f>(F624/F612)*AY64</f>
        <v>103302.5285063155</v>
      </c>
      <c r="G625" s="180">
        <f>SUM(C625:F625)</f>
        <v>1727054.2892953954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14592</v>
      </c>
      <c r="D626" s="180">
        <f>(D615/D612)*BR76</f>
        <v>15831.995081809564</v>
      </c>
      <c r="E626" s="180">
        <f>(E623/E612)*SUM(C626:D626)</f>
        <v>7587.6445045548608</v>
      </c>
      <c r="F626" s="180">
        <f>(F624/F612)*BR64</f>
        <v>361.80487708852445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38373.44446345295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876608.54</v>
      </c>
      <c r="D629" s="180">
        <f>(D615/D612)*BF76</f>
        <v>135697.07459713425</v>
      </c>
      <c r="E629" s="180">
        <f>(E623/E612)*SUM(C629:D629)</f>
        <v>252465.6973179843</v>
      </c>
      <c r="F629" s="180">
        <f>(F624/F612)*BF64</f>
        <v>63997.13207404947</v>
      </c>
      <c r="G629" s="180">
        <f>(G625/G612)*BF77</f>
        <v>0</v>
      </c>
      <c r="H629" s="180">
        <f>(H628/H612)*BF60</f>
        <v>2490.1148606239199</v>
      </c>
      <c r="I629" s="180">
        <f>SUM(C629:H629)</f>
        <v>1331258.558849792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181896</v>
      </c>
      <c r="D630" s="180">
        <f>(D615/D612)*BA76</f>
        <v>24792.743567199243</v>
      </c>
      <c r="E630" s="180">
        <f>(E623/E612)*SUM(C630:D630)</f>
        <v>51547.494175696855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258236.2377428961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208879.32</v>
      </c>
      <c r="D634" s="180">
        <f>(D615/D612)*BI76</f>
        <v>0</v>
      </c>
      <c r="E634" s="180">
        <f>(E623/E612)*SUM(C634:D634)</f>
        <v>52093.816747320125</v>
      </c>
      <c r="F634" s="180">
        <f>(F624/F612)*BI64</f>
        <v>434.16585250622933</v>
      </c>
      <c r="G634" s="180">
        <f>(G625/G612)*BI77</f>
        <v>0</v>
      </c>
      <c r="H634" s="180">
        <f>(H628/H612)*BI60</f>
        <v>887.9173433286561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1615592.51</v>
      </c>
      <c r="D637" s="180">
        <f>(D615/D612)*BL76</f>
        <v>543149.94294624333</v>
      </c>
      <c r="E637" s="180">
        <f>(E623/E612)*SUM(C637:D637)</f>
        <v>538383.28154477873</v>
      </c>
      <c r="F637" s="180">
        <f>(F624/F612)*BL64</f>
        <v>1352.0648256798158</v>
      </c>
      <c r="G637" s="180">
        <f>(G625/G612)*BL77</f>
        <v>0</v>
      </c>
      <c r="H637" s="180">
        <f>(H628/H612)*BL60</f>
        <v>1371.3390080298134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189742.5</v>
      </c>
      <c r="D642" s="180">
        <f>(D615/D612)*BV76</f>
        <v>38495.054031404979</v>
      </c>
      <c r="E642" s="180">
        <f>(E623/E612)*SUM(C642:D642)</f>
        <v>56921.696770022936</v>
      </c>
      <c r="F642" s="180">
        <f>(F624/F612)*BV64</f>
        <v>321.28273085460972</v>
      </c>
      <c r="G642" s="180">
        <f>(G625/G612)*BV77</f>
        <v>0</v>
      </c>
      <c r="H642" s="180">
        <f>(H628/H612)*BV60</f>
        <v>368.97898489435266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4568</v>
      </c>
      <c r="D643" s="180">
        <f>(D615/D612)*BW76</f>
        <v>5464.8510942286821</v>
      </c>
      <c r="E643" s="180">
        <f>(E623/E612)*SUM(C643:D643)</f>
        <v>2502.1601293794861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628936.19000000006</v>
      </c>
      <c r="D644" s="180">
        <f>(D615/D612)*BX76</f>
        <v>11291.346746163674</v>
      </c>
      <c r="E644" s="180">
        <f>(E623/E612)*SUM(C644:D644)</f>
        <v>159670.6460737368</v>
      </c>
      <c r="F644" s="180">
        <f>(F624/F612)*BX64</f>
        <v>0</v>
      </c>
      <c r="G644" s="180">
        <f>(G625/G612)*BX77</f>
        <v>0</v>
      </c>
      <c r="H644" s="180">
        <f>(H628/H612)*BX60</f>
        <v>1247.0305799638015</v>
      </c>
      <c r="I644" s="180">
        <f>(I629/I612)*BX78</f>
        <v>0</v>
      </c>
      <c r="J644" s="180">
        <f>(J630/J612)*BX79</f>
        <v>0</v>
      </c>
      <c r="K644" s="180">
        <f>SUM(C631:J644)</f>
        <v>4061674.0954085356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1926928.43</v>
      </c>
      <c r="D645" s="180">
        <f>(D615/D612)*BY76</f>
        <v>55411.982786333472</v>
      </c>
      <c r="E645" s="180">
        <f>(E623/E612)*SUM(C645:D645)</f>
        <v>494389.19178068073</v>
      </c>
      <c r="F645" s="180">
        <f>(F624/F612)*BY64</f>
        <v>8131.5646125645862</v>
      </c>
      <c r="G645" s="180">
        <f>(G625/G612)*BY77</f>
        <v>0</v>
      </c>
      <c r="H645" s="180">
        <f>(H628/H612)*BY60</f>
        <v>2995.2411714953332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327191.82</v>
      </c>
      <c r="D647" s="180">
        <f>(D615/D612)*CA76</f>
        <v>30860.335590938441</v>
      </c>
      <c r="E647" s="180">
        <f>(E623/E612)*SUM(C647:D647)</f>
        <v>89297.032273646342</v>
      </c>
      <c r="F647" s="180">
        <f>(F624/F612)*CA64</f>
        <v>525.34068153253747</v>
      </c>
      <c r="G647" s="180">
        <f>(G625/G612)*CA77</f>
        <v>0</v>
      </c>
      <c r="H647" s="180">
        <f>(H628/H612)*CA60</f>
        <v>455.79756957537677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2936186.7364667668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17704522.359999999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861296.83000000007</v>
      </c>
      <c r="D668" s="180">
        <f>(D615/D612)*C76</f>
        <v>145742.75675564285</v>
      </c>
      <c r="E668" s="180">
        <f>(E623/E612)*SUM(C668:D668)</f>
        <v>251152.36726041356</v>
      </c>
      <c r="F668" s="180">
        <f>(F624/F612)*C64</f>
        <v>1302.8593623957765</v>
      </c>
      <c r="G668" s="180">
        <f>(G625/G612)*C77</f>
        <v>0</v>
      </c>
      <c r="H668" s="180">
        <f>(H628/H612)*C60</f>
        <v>2047.5907277823251</v>
      </c>
      <c r="I668" s="180">
        <f>(I629/I612)*C78</f>
        <v>69645.42552944507</v>
      </c>
      <c r="J668" s="180">
        <f>(J630/J612)*C79</f>
        <v>64559.298206195723</v>
      </c>
      <c r="K668" s="180">
        <f>(K644/K612)*C75</f>
        <v>177420.01595793225</v>
      </c>
      <c r="L668" s="180">
        <f>(L647/L612)*C80</f>
        <v>283959.52319088671</v>
      </c>
      <c r="M668" s="180">
        <f t="shared" ref="M668:M713" si="20">ROUND(SUM(D668:L668),0)</f>
        <v>995830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11214784.120000001</v>
      </c>
      <c r="D669" s="180">
        <f>(D615/D612)*D76</f>
        <v>685718.26413979742</v>
      </c>
      <c r="E669" s="180">
        <f>(E623/E612)*SUM(C669:D669)</f>
        <v>2967946.2303899922</v>
      </c>
      <c r="F669" s="180">
        <f>(F624/F612)*D64</f>
        <v>364843.67625119095</v>
      </c>
      <c r="G669" s="180">
        <f>(G625/G612)*D77</f>
        <v>1727054.2892953954</v>
      </c>
      <c r="H669" s="180">
        <f>(H628/H612)*D60</f>
        <v>19129.854519872322</v>
      </c>
      <c r="I669" s="180">
        <f>(I629/I612)*D78</f>
        <v>1261613.1333203469</v>
      </c>
      <c r="J669" s="180">
        <f>(J630/J612)*D79</f>
        <v>173017.68431208059</v>
      </c>
      <c r="K669" s="180">
        <f>(K644/K612)*D75</f>
        <v>2132502.5282303011</v>
      </c>
      <c r="L669" s="180">
        <f>(L647/L612)*D80</f>
        <v>2652227.2132758801</v>
      </c>
      <c r="M669" s="180">
        <f t="shared" si="20"/>
        <v>11984053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48536</v>
      </c>
      <c r="D684" s="180">
        <f>(D615/D612)*S76</f>
        <v>58064.042876179745</v>
      </c>
      <c r="E684" s="180">
        <f>(E623/E612)*SUM(C684:D684)</f>
        <v>26585.700771374475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2582.5279697955161</v>
      </c>
      <c r="K684" s="180">
        <f>(K644/K612)*S75</f>
        <v>0</v>
      </c>
      <c r="L684" s="180">
        <f>(L647/L612)*S80</f>
        <v>0</v>
      </c>
      <c r="M684" s="180">
        <f t="shared" si="20"/>
        <v>87232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1133878.67</v>
      </c>
      <c r="D686" s="180">
        <f>(D615/D612)*U76</f>
        <v>19930.633402481075</v>
      </c>
      <c r="E686" s="180">
        <f>(E623/E612)*SUM(C686:D686)</f>
        <v>287756.25281048374</v>
      </c>
      <c r="F686" s="180">
        <f>(F624/F612)*U64</f>
        <v>41239.24350030419</v>
      </c>
      <c r="G686" s="180">
        <f>(G625/G612)*U77</f>
        <v>0</v>
      </c>
      <c r="H686" s="180">
        <f>(H628/H612)*U60</f>
        <v>1053.6619140833384</v>
      </c>
      <c r="I686" s="180">
        <f>(I629/I612)*U78</f>
        <v>0</v>
      </c>
      <c r="J686" s="180">
        <f>(J630/J612)*U79</f>
        <v>2582.5279697955161</v>
      </c>
      <c r="K686" s="180">
        <f>(K644/K612)*U75</f>
        <v>308172.74873180088</v>
      </c>
      <c r="L686" s="180">
        <f>(L647/L612)*U80</f>
        <v>0</v>
      </c>
      <c r="M686" s="180">
        <f t="shared" si="20"/>
        <v>660735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10849</v>
      </c>
      <c r="D687" s="180">
        <f>(D615/D612)*V76</f>
        <v>0</v>
      </c>
      <c r="E687" s="180">
        <f>(E623/E612)*SUM(C687:D687)</f>
        <v>2705.7049874141494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4010.789398292311</v>
      </c>
      <c r="L687" s="180">
        <f>(L647/L612)*V80</f>
        <v>0</v>
      </c>
      <c r="M687" s="180">
        <f t="shared" si="20"/>
        <v>6716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14147</v>
      </c>
      <c r="D688" s="180">
        <f>(D615/D612)*W76</f>
        <v>0</v>
      </c>
      <c r="E688" s="180">
        <f>(E623/E612)*SUM(C688:D688)</f>
        <v>3528.2153615031771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1901.2404169377219</v>
      </c>
      <c r="L688" s="180">
        <f>(L647/L612)*W80</f>
        <v>0</v>
      </c>
      <c r="M688" s="180">
        <f t="shared" si="20"/>
        <v>5429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338639</v>
      </c>
      <c r="D689" s="180">
        <f>(D615/D612)*X76</f>
        <v>0</v>
      </c>
      <c r="E689" s="180">
        <f>(E623/E612)*SUM(C689:D689)</f>
        <v>84455.454994279658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44245.557039837448</v>
      </c>
      <c r="L689" s="180">
        <f>(L647/L612)*X80</f>
        <v>0</v>
      </c>
      <c r="M689" s="180">
        <f t="shared" si="20"/>
        <v>128701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400033.5</v>
      </c>
      <c r="D690" s="180">
        <f>(D615/D612)*Y76</f>
        <v>17479.486955804976</v>
      </c>
      <c r="E690" s="180">
        <f>(E623/E612)*SUM(C690:D690)</f>
        <v>104126.36843179096</v>
      </c>
      <c r="F690" s="180">
        <f>(F624/F612)*Y64</f>
        <v>935.98921702801272</v>
      </c>
      <c r="G690" s="180">
        <f>(G625/G612)*Y77</f>
        <v>0</v>
      </c>
      <c r="H690" s="180">
        <f>(H628/H612)*Y60</f>
        <v>428.17347444959637</v>
      </c>
      <c r="I690" s="180">
        <f>(I629/I612)*Y78</f>
        <v>0</v>
      </c>
      <c r="J690" s="180">
        <f>(J630/J612)*Y79</f>
        <v>2582.5279697955161</v>
      </c>
      <c r="K690" s="180">
        <f>(K644/K612)*Y75</f>
        <v>22553.318972749137</v>
      </c>
      <c r="L690" s="180">
        <f>(L647/L612)*Y80</f>
        <v>0</v>
      </c>
      <c r="M690" s="180">
        <f t="shared" si="20"/>
        <v>148106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3049554.55</v>
      </c>
      <c r="D693" s="180">
        <f>(D615/D612)*AB76</f>
        <v>60997.382066464255</v>
      </c>
      <c r="E693" s="180">
        <f>(E623/E612)*SUM(C693:D693)</f>
        <v>775761.44125753059</v>
      </c>
      <c r="F693" s="180">
        <f>(F624/F612)*AB64</f>
        <v>12298.471381993122</v>
      </c>
      <c r="G693" s="180">
        <f>(G625/G612)*AB77</f>
        <v>0</v>
      </c>
      <c r="H693" s="180">
        <f>(H628/H612)*AB60</f>
        <v>1933.6866588046289</v>
      </c>
      <c r="I693" s="180">
        <f>(I629/I612)*AB78</f>
        <v>0</v>
      </c>
      <c r="J693" s="180">
        <f>(J630/J612)*AB79</f>
        <v>0</v>
      </c>
      <c r="K693" s="180">
        <f>(K644/K612)*AB75</f>
        <v>609625.01269734197</v>
      </c>
      <c r="L693" s="180">
        <f>(L647/L612)*AB80</f>
        <v>0</v>
      </c>
      <c r="M693" s="180">
        <f t="shared" si="20"/>
        <v>1460616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1820378.78</v>
      </c>
      <c r="D694" s="180">
        <f>(D615/D612)*AC76</f>
        <v>34476.781168001537</v>
      </c>
      <c r="E694" s="180">
        <f>(E623/E612)*SUM(C694:D694)</f>
        <v>462594.88826482923</v>
      </c>
      <c r="F694" s="180">
        <f>(F624/F612)*AC64</f>
        <v>64424.423633891012</v>
      </c>
      <c r="G694" s="180">
        <f>(G625/G612)*AC77</f>
        <v>0</v>
      </c>
      <c r="H694" s="180">
        <f>(H628/H612)*AC60</f>
        <v>3964.0576505494887</v>
      </c>
      <c r="I694" s="180">
        <f>(I629/I612)*AC78</f>
        <v>0</v>
      </c>
      <c r="J694" s="180">
        <f>(J630/J612)*AC79</f>
        <v>12911.671315233316</v>
      </c>
      <c r="K694" s="180">
        <f>(K644/K612)*AC75</f>
        <v>531145.91130629554</v>
      </c>
      <c r="L694" s="180">
        <f>(L647/L612)*AC80</f>
        <v>0</v>
      </c>
      <c r="M694" s="180">
        <f t="shared" si="20"/>
        <v>1109518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1184084</v>
      </c>
      <c r="D695" s="180">
        <f>(D615/D612)*AD76</f>
        <v>0</v>
      </c>
      <c r="E695" s="180">
        <f>(E623/E612)*SUM(C695:D695)</f>
        <v>295306.66276313906</v>
      </c>
      <c r="F695" s="180">
        <f>(F624/F612)*AD64</f>
        <v>198.63087752159993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112625.82795310106</v>
      </c>
      <c r="L695" s="180">
        <f>(L647/L612)*AD80</f>
        <v>0</v>
      </c>
      <c r="M695" s="180">
        <f t="shared" si="20"/>
        <v>408131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825572</v>
      </c>
      <c r="D696" s="180">
        <f>(D615/D612)*AE76</f>
        <v>173750.11861356485</v>
      </c>
      <c r="E696" s="180">
        <f>(E623/E612)*SUM(C696:D696)</f>
        <v>249227.65603889726</v>
      </c>
      <c r="F696" s="180">
        <f>(F624/F612)*AE64</f>
        <v>3934.2662334606148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57871.709788710272</v>
      </c>
      <c r="L696" s="180">
        <f>(L647/L612)*AE80</f>
        <v>0</v>
      </c>
      <c r="M696" s="180">
        <f t="shared" si="20"/>
        <v>484784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2232</v>
      </c>
      <c r="D699" s="180">
        <f>(D615/D612)*AH76</f>
        <v>0</v>
      </c>
      <c r="E699" s="180">
        <f>(E623/E612)*SUM(C699:D699)</f>
        <v>556.653473307068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557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450569</v>
      </c>
      <c r="D702" s="180">
        <f>(D615/D612)*AK76</f>
        <v>0</v>
      </c>
      <c r="E702" s="180">
        <f>(E623/E612)*SUM(C702:D702)</f>
        <v>112370.42957638546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38629.405377530406</v>
      </c>
      <c r="L702" s="180">
        <f>(L647/L612)*AK80</f>
        <v>0</v>
      </c>
      <c r="M702" s="180">
        <f t="shared" si="20"/>
        <v>151000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209082</v>
      </c>
      <c r="D703" s="180">
        <f>(D615/D612)*AL76</f>
        <v>0</v>
      </c>
      <c r="E703" s="180">
        <f>(E623/E612)*SUM(C703:D703)</f>
        <v>52144.36447400914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20970.029537705388</v>
      </c>
      <c r="L703" s="180">
        <f>(L647/L612)*AL80</f>
        <v>0</v>
      </c>
      <c r="M703" s="180">
        <f t="shared" si="20"/>
        <v>73114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39268158.810000002</v>
      </c>
      <c r="D715" s="180">
        <f>SUM(D616:D647)+SUM(D668:D713)</f>
        <v>2924940.9999999995</v>
      </c>
      <c r="E715" s="180">
        <f>SUM(E624:E647)+SUM(E668:E713)</f>
        <v>7838462.9718936412</v>
      </c>
      <c r="F715" s="180">
        <f>SUM(F625:F648)+SUM(F668:F713)</f>
        <v>667603.44461837655</v>
      </c>
      <c r="G715" s="180">
        <f>SUM(G626:G647)+SUM(G668:G713)</f>
        <v>1727054.2892953954</v>
      </c>
      <c r="H715" s="180">
        <f>SUM(H629:H647)+SUM(H668:H713)</f>
        <v>38373.44446345295</v>
      </c>
      <c r="I715" s="180">
        <f>SUM(I630:I647)+SUM(I668:I713)</f>
        <v>1331258.558849792</v>
      </c>
      <c r="J715" s="180">
        <f>SUM(J631:J647)+SUM(J668:J713)</f>
        <v>258236.23774289616</v>
      </c>
      <c r="K715" s="180">
        <f>SUM(K668:K713)</f>
        <v>4061674.0954085351</v>
      </c>
      <c r="L715" s="180">
        <f>SUM(L668:L713)</f>
        <v>2936186.7364667668</v>
      </c>
      <c r="M715" s="180">
        <f>SUM(M668:M713)</f>
        <v>17704522</v>
      </c>
      <c r="N715" s="198" t="s">
        <v>742</v>
      </c>
    </row>
    <row r="716" spans="1:15" ht="12.6" customHeight="1" x14ac:dyDescent="0.25">
      <c r="C716" s="180">
        <f>CE71</f>
        <v>39268158.810000002</v>
      </c>
      <c r="D716" s="180">
        <f>D615</f>
        <v>2924941</v>
      </c>
      <c r="E716" s="180">
        <f>E623</f>
        <v>7838462.9718936412</v>
      </c>
      <c r="F716" s="180">
        <f>F624</f>
        <v>667603.44461837655</v>
      </c>
      <c r="G716" s="180">
        <f>G625</f>
        <v>1727054.2892953954</v>
      </c>
      <c r="H716" s="180">
        <f>H628</f>
        <v>38373.44446345295</v>
      </c>
      <c r="I716" s="180">
        <f>I629</f>
        <v>1331258.558849792</v>
      </c>
      <c r="J716" s="180">
        <f>J630</f>
        <v>258236.2377428961</v>
      </c>
      <c r="K716" s="180">
        <f>K644</f>
        <v>4061674.0954085356</v>
      </c>
      <c r="L716" s="180">
        <f>L647</f>
        <v>2936186.7364667668</v>
      </c>
      <c r="M716" s="180">
        <f>C648</f>
        <v>17704522.359999999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9" transitionEvaluation="1" transitionEntry="1" codeName="Sheet10">
    <pageSetUpPr autoPageBreaks="0" fitToPage="1"/>
  </sheetPr>
  <dimension ref="A1:CF817"/>
  <sheetViews>
    <sheetView showGridLines="0" topLeftCell="A34" zoomScale="75" zoomScaleNormal="75" workbookViewId="0">
      <pane xSplit="2" ySplit="25" topLeftCell="C59" activePane="bottomRight" state="frozen"/>
      <selection activeCell="A34" sqref="A34"/>
      <selection pane="topRight" activeCell="C34" sqref="C34"/>
      <selection pane="bottomLeft" activeCell="A59" sqref="A59"/>
      <selection pane="bottomRight" activeCell="C223" sqref="C22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8" width="11.75" style="180"/>
    <col min="59" max="59" width="12.25" style="180" bestFit="1" customWidth="1"/>
    <col min="60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108789.75</v>
      </c>
      <c r="D47" s="184"/>
      <c r="E47" s="184">
        <v>852195.13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>
        <v>52323.44</v>
      </c>
      <c r="V47" s="184"/>
      <c r="W47" s="184"/>
      <c r="X47" s="184"/>
      <c r="Y47" s="184">
        <v>23700.38</v>
      </c>
      <c r="Z47" s="184"/>
      <c r="AA47" s="184"/>
      <c r="AB47" s="184"/>
      <c r="AC47" s="184">
        <v>206248.23</v>
      </c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105298.04</v>
      </c>
      <c r="AZ47" s="184"/>
      <c r="BA47" s="184"/>
      <c r="BB47" s="184"/>
      <c r="BC47" s="184"/>
      <c r="BD47" s="184">
        <v>29966.04</v>
      </c>
      <c r="BE47" s="184"/>
      <c r="BF47" s="184">
        <v>82916.820000000007</v>
      </c>
      <c r="BG47" s="184"/>
      <c r="BH47" s="184"/>
      <c r="BI47" s="184">
        <v>24807.84</v>
      </c>
      <c r="BJ47" s="184">
        <v>26749.53</v>
      </c>
      <c r="BK47" s="184"/>
      <c r="BL47" s="184">
        <v>123988.47</v>
      </c>
      <c r="BM47" s="184"/>
      <c r="BN47" s="184">
        <v>1195688.3999999999</v>
      </c>
      <c r="BO47" s="184"/>
      <c r="BP47" s="184"/>
      <c r="BQ47" s="184"/>
      <c r="BR47" s="184">
        <v>3810.84</v>
      </c>
      <c r="BS47" s="184"/>
      <c r="BT47" s="184"/>
      <c r="BU47" s="184"/>
      <c r="BV47" s="184">
        <v>25233.43</v>
      </c>
      <c r="BW47" s="184"/>
      <c r="BX47" s="184">
        <v>69141.75</v>
      </c>
      <c r="BY47" s="184">
        <v>180961.01</v>
      </c>
      <c r="BZ47" s="184"/>
      <c r="CA47" s="184">
        <v>21010.06</v>
      </c>
      <c r="CB47" s="184"/>
      <c r="CC47" s="184">
        <v>33824.53</v>
      </c>
      <c r="CD47" s="195"/>
      <c r="CE47" s="195">
        <f>SUM(C47:CC47)</f>
        <v>3166653.6900000004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2715637</v>
      </c>
      <c r="C52" s="195">
        <f>ROUND((B52/(CE76+CF76)*C76),0)</f>
        <v>122060</v>
      </c>
      <c r="D52" s="195">
        <f>ROUND((B52/(CE76+CF76)*D76),0)</f>
        <v>0</v>
      </c>
      <c r="E52" s="195">
        <f>ROUND((B52/(CE76+CF76)*E76),0)</f>
        <v>574290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48629</v>
      </c>
      <c r="T52" s="195">
        <f>ROUND((B52/(CE76+CF76)*T76),0)</f>
        <v>0</v>
      </c>
      <c r="U52" s="195">
        <f>ROUND((B52/(CE76+CF76)*U76),0)</f>
        <v>16692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14639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51085</v>
      </c>
      <c r="AC52" s="195">
        <f>ROUND((B52/(CE76+CF76)*AC76),0)</f>
        <v>28874</v>
      </c>
      <c r="AD52" s="195">
        <f>ROUND((B52/(CE76+CF76)*AD76),0)</f>
        <v>0</v>
      </c>
      <c r="AE52" s="195">
        <f>ROUND((B52/(CE76+CF76)*AE76),0)</f>
        <v>145516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148410</v>
      </c>
      <c r="AZ52" s="195">
        <f>ROUND((B52/(CE76+CF76)*AZ76),0)</f>
        <v>0</v>
      </c>
      <c r="BA52" s="195">
        <f>ROUND((B52/(CE76+CF76)*BA76),0)</f>
        <v>20764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59600</v>
      </c>
      <c r="BE52" s="195">
        <f>ROUND((B52/(CE76+CF76)*BE76),0)</f>
        <v>265994</v>
      </c>
      <c r="BF52" s="195">
        <f>ROUND((B52/(CE76+CF76)*BF76),0)</f>
        <v>113647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14942</v>
      </c>
      <c r="BK52" s="195">
        <f>ROUND((B52/(CE76+CF76)*BK76),0)</f>
        <v>0</v>
      </c>
      <c r="BL52" s="195">
        <f>ROUND((B52/(CE76+CF76)*BL76),0)</f>
        <v>454889</v>
      </c>
      <c r="BM52" s="195">
        <f>ROUND((B52/(CE76+CF76)*BM76),0)</f>
        <v>0</v>
      </c>
      <c r="BN52" s="195">
        <f>ROUND((B52/(CE76+CF76)*BN76),0)</f>
        <v>476797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13259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32240</v>
      </c>
      <c r="BW52" s="195">
        <f>ROUND((B52/(CE76+CF76)*BW76),0)</f>
        <v>4577</v>
      </c>
      <c r="BX52" s="195">
        <f>ROUND((B52/(CE76+CF76)*BX76),0)</f>
        <v>9457</v>
      </c>
      <c r="BY52" s="195">
        <f>ROUND((B52/(CE76+CF76)*BY76),0)</f>
        <v>46408</v>
      </c>
      <c r="BZ52" s="195">
        <f>ROUND((B52/(CE76+CF76)*BZ76),0)</f>
        <v>0</v>
      </c>
      <c r="CA52" s="195">
        <f>ROUND((B52/(CE76+CF76)*CA76),0)</f>
        <v>25846</v>
      </c>
      <c r="CB52" s="195">
        <f>ROUND((B52/(CE76+CF76)*CB76),0)</f>
        <v>0</v>
      </c>
      <c r="CC52" s="195">
        <f>ROUND((B52/(CE76+CF76)*CC76),0)</f>
        <v>27023</v>
      </c>
      <c r="CD52" s="195"/>
      <c r="CE52" s="195">
        <f>SUM(C52:CD52)</f>
        <v>2715638</v>
      </c>
    </row>
    <row r="53" spans="1:84" ht="12.6" customHeight="1" x14ac:dyDescent="0.25">
      <c r="A53" s="175" t="s">
        <v>206</v>
      </c>
      <c r="B53" s="195">
        <f>B51+B52</f>
        <v>2715637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1191</v>
      </c>
      <c r="D59" s="184"/>
      <c r="E59" s="184">
        <v>19466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0</v>
      </c>
      <c r="Q59" s="185"/>
      <c r="R59" s="185"/>
      <c r="S59" s="248"/>
      <c r="T59" s="248"/>
      <c r="U59" s="224">
        <v>120533</v>
      </c>
      <c r="V59" s="185"/>
      <c r="W59" s="185"/>
      <c r="X59" s="185">
        <v>366</v>
      </c>
      <c r="Y59" s="185">
        <v>2803</v>
      </c>
      <c r="Z59" s="185"/>
      <c r="AA59" s="185"/>
      <c r="AB59" s="248"/>
      <c r="AC59" s="185">
        <v>55049</v>
      </c>
      <c r="AD59" s="185">
        <v>1864</v>
      </c>
      <c r="AE59" s="185">
        <v>16734</v>
      </c>
      <c r="AF59" s="185"/>
      <c r="AG59" s="185"/>
      <c r="AH59" s="185"/>
      <c r="AI59" s="185"/>
      <c r="AJ59" s="185"/>
      <c r="AK59" s="185">
        <v>10515</v>
      </c>
      <c r="AL59" s="185">
        <v>4053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48373</v>
      </c>
      <c r="AZ59" s="185"/>
      <c r="BA59" s="248"/>
      <c r="BB59" s="248"/>
      <c r="BC59" s="248"/>
      <c r="BD59" s="248"/>
      <c r="BE59" s="185">
        <v>80695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12.2</v>
      </c>
      <c r="D60" s="187"/>
      <c r="E60" s="187">
        <f>106.1+2</f>
        <v>108.1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0</v>
      </c>
      <c r="Q60" s="221"/>
      <c r="R60" s="221"/>
      <c r="S60" s="221">
        <v>0</v>
      </c>
      <c r="T60" s="221"/>
      <c r="U60" s="221">
        <v>7.1</v>
      </c>
      <c r="V60" s="221"/>
      <c r="W60" s="221"/>
      <c r="X60" s="221">
        <v>0</v>
      </c>
      <c r="Y60" s="221">
        <v>2.2000000000000002</v>
      </c>
      <c r="Z60" s="221"/>
      <c r="AA60" s="221"/>
      <c r="AB60" s="221">
        <v>0</v>
      </c>
      <c r="AC60" s="221">
        <v>20.3</v>
      </c>
      <c r="AD60" s="221">
        <v>0</v>
      </c>
      <c r="AE60" s="221">
        <v>0</v>
      </c>
      <c r="AF60" s="221"/>
      <c r="AG60" s="221"/>
      <c r="AH60" s="221"/>
      <c r="AI60" s="221"/>
      <c r="AJ60" s="221"/>
      <c r="AK60" s="221">
        <v>0</v>
      </c>
      <c r="AL60" s="221">
        <v>0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17.399999999999999</v>
      </c>
      <c r="AZ60" s="221"/>
      <c r="BA60" s="221">
        <v>0</v>
      </c>
      <c r="BB60" s="221"/>
      <c r="BC60" s="221"/>
      <c r="BD60" s="221">
        <v>4.4000000000000004</v>
      </c>
      <c r="BE60" s="221">
        <v>0</v>
      </c>
      <c r="BF60" s="221">
        <v>15.2</v>
      </c>
      <c r="BG60" s="221"/>
      <c r="BH60" s="221"/>
      <c r="BI60" s="221">
        <v>5.4</v>
      </c>
      <c r="BJ60" s="221">
        <v>3.1</v>
      </c>
      <c r="BK60" s="221"/>
      <c r="BL60" s="221">
        <v>8.3000000000000007</v>
      </c>
      <c r="BM60" s="221"/>
      <c r="BN60" s="221">
        <v>10.6</v>
      </c>
      <c r="BO60" s="221"/>
      <c r="BP60" s="221"/>
      <c r="BQ60" s="221"/>
      <c r="BR60" s="221">
        <v>0.4</v>
      </c>
      <c r="BS60" s="221"/>
      <c r="BT60" s="221"/>
      <c r="BU60" s="221"/>
      <c r="BV60" s="221">
        <v>2</v>
      </c>
      <c r="BW60" s="221">
        <v>0</v>
      </c>
      <c r="BX60" s="221">
        <v>7.8</v>
      </c>
      <c r="BY60" s="221">
        <v>14.7</v>
      </c>
      <c r="BZ60" s="221"/>
      <c r="CA60" s="221">
        <v>2.5</v>
      </c>
      <c r="CB60" s="221"/>
      <c r="CC60" s="221">
        <v>0.6</v>
      </c>
      <c r="CD60" s="249" t="s">
        <v>221</v>
      </c>
      <c r="CE60" s="251">
        <f t="shared" ref="CE60:CE70" si="0">SUM(C60:CD60)</f>
        <v>242.3</v>
      </c>
    </row>
    <row r="61" spans="1:84" ht="12.6" customHeight="1" x14ac:dyDescent="0.25">
      <c r="A61" s="171" t="s">
        <v>235</v>
      </c>
      <c r="B61" s="175"/>
      <c r="C61" s="184">
        <f>946630.13+18991.44</f>
        <v>965621.57</v>
      </c>
      <c r="D61" s="184"/>
      <c r="E61" s="184">
        <f>7147804.1+235078.6</f>
        <v>7382882.6999999993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0</v>
      </c>
      <c r="Q61" s="185"/>
      <c r="R61" s="185"/>
      <c r="S61" s="185">
        <v>0</v>
      </c>
      <c r="T61" s="185"/>
      <c r="U61" s="185">
        <v>390181.85</v>
      </c>
      <c r="V61" s="185"/>
      <c r="W61" s="185"/>
      <c r="X61" s="185">
        <v>0</v>
      </c>
      <c r="Y61" s="185">
        <v>205102.39</v>
      </c>
      <c r="Z61" s="185"/>
      <c r="AA61" s="185"/>
      <c r="AB61" s="185">
        <v>0</v>
      </c>
      <c r="AC61" s="185">
        <v>1345412.56</v>
      </c>
      <c r="AD61" s="185">
        <v>0</v>
      </c>
      <c r="AE61" s="185">
        <v>0</v>
      </c>
      <c r="AF61" s="185"/>
      <c r="AG61" s="185"/>
      <c r="AH61" s="185"/>
      <c r="AI61" s="185"/>
      <c r="AJ61" s="185"/>
      <c r="AK61" s="185">
        <v>0</v>
      </c>
      <c r="AL61" s="185">
        <v>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553338.8+122911.83</f>
        <v>676250.63</v>
      </c>
      <c r="AZ61" s="185"/>
      <c r="BA61" s="185">
        <v>0</v>
      </c>
      <c r="BB61" s="185"/>
      <c r="BC61" s="185"/>
      <c r="BD61" s="185">
        <v>182201.39</v>
      </c>
      <c r="BE61" s="185">
        <v>0</v>
      </c>
      <c r="BF61" s="185">
        <v>513641.49</v>
      </c>
      <c r="BG61" s="185"/>
      <c r="BH61" s="185"/>
      <c r="BI61" s="185">
        <v>193479.62</v>
      </c>
      <c r="BJ61" s="185">
        <v>170006.07</v>
      </c>
      <c r="BK61" s="185"/>
      <c r="BL61" s="185">
        <v>880682.02</v>
      </c>
      <c r="BM61" s="185"/>
      <c r="BN61" s="185">
        <v>1583984.92</v>
      </c>
      <c r="BO61" s="185"/>
      <c r="BP61" s="185"/>
      <c r="BQ61" s="185"/>
      <c r="BR61" s="185">
        <v>21138.61</v>
      </c>
      <c r="BS61" s="185"/>
      <c r="BT61" s="185"/>
      <c r="BU61" s="185"/>
      <c r="BV61" s="185">
        <v>119276.92</v>
      </c>
      <c r="BW61" s="185">
        <v>0</v>
      </c>
      <c r="BX61" s="185">
        <f>616178.68+38579.56</f>
        <v>654758.24</v>
      </c>
      <c r="BY61" s="185">
        <v>1505723.73</v>
      </c>
      <c r="BZ61" s="185"/>
      <c r="CA61" s="185">
        <v>232889.06</v>
      </c>
      <c r="CB61" s="185"/>
      <c r="CC61" s="185">
        <f>29337.59+450686.22+7194+5771</f>
        <v>492988.81</v>
      </c>
      <c r="CD61" s="249" t="s">
        <v>221</v>
      </c>
      <c r="CE61" s="195">
        <f t="shared" si="0"/>
        <v>17516222.579999998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108790</v>
      </c>
      <c r="D62" s="195">
        <f t="shared" si="1"/>
        <v>0</v>
      </c>
      <c r="E62" s="195">
        <f t="shared" si="1"/>
        <v>852195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52323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23700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206248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105298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29966</v>
      </c>
      <c r="BE62" s="195">
        <f t="shared" si="1"/>
        <v>0</v>
      </c>
      <c r="BF62" s="195">
        <f t="shared" si="1"/>
        <v>82917</v>
      </c>
      <c r="BG62" s="195">
        <f t="shared" si="1"/>
        <v>0</v>
      </c>
      <c r="BH62" s="195">
        <f t="shared" si="1"/>
        <v>0</v>
      </c>
      <c r="BI62" s="195">
        <f t="shared" si="1"/>
        <v>24808</v>
      </c>
      <c r="BJ62" s="195">
        <f t="shared" si="1"/>
        <v>26750</v>
      </c>
      <c r="BK62" s="195">
        <f t="shared" si="1"/>
        <v>0</v>
      </c>
      <c r="BL62" s="195">
        <f t="shared" si="1"/>
        <v>123988</v>
      </c>
      <c r="BM62" s="195">
        <f t="shared" si="1"/>
        <v>0</v>
      </c>
      <c r="BN62" s="195">
        <f t="shared" si="1"/>
        <v>1195688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3811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25233</v>
      </c>
      <c r="BW62" s="195">
        <f t="shared" si="2"/>
        <v>0</v>
      </c>
      <c r="BX62" s="195">
        <f t="shared" si="2"/>
        <v>69142</v>
      </c>
      <c r="BY62" s="195">
        <f t="shared" si="2"/>
        <v>180961</v>
      </c>
      <c r="BZ62" s="195">
        <f t="shared" si="2"/>
        <v>0</v>
      </c>
      <c r="CA62" s="195">
        <f t="shared" si="2"/>
        <v>21010</v>
      </c>
      <c r="CB62" s="195">
        <f t="shared" si="2"/>
        <v>0</v>
      </c>
      <c r="CC62" s="195">
        <f t="shared" si="2"/>
        <v>33825</v>
      </c>
      <c r="CD62" s="249" t="s">
        <v>221</v>
      </c>
      <c r="CE62" s="195">
        <f t="shared" si="0"/>
        <v>3166653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f>398700+397375</f>
        <v>796075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0</v>
      </c>
      <c r="Q63" s="185"/>
      <c r="R63" s="185"/>
      <c r="S63" s="185">
        <v>0</v>
      </c>
      <c r="T63" s="185"/>
      <c r="U63" s="185">
        <f>13741.68+17879.57</f>
        <v>31621.25</v>
      </c>
      <c r="V63" s="185"/>
      <c r="W63" s="185"/>
      <c r="X63" s="185">
        <v>0</v>
      </c>
      <c r="Y63" s="185">
        <f>29868.93+38863.07</f>
        <v>68732</v>
      </c>
      <c r="Z63" s="185"/>
      <c r="AA63" s="185"/>
      <c r="AB63" s="185">
        <v>0</v>
      </c>
      <c r="AC63" s="185">
        <v>0</v>
      </c>
      <c r="AD63" s="185">
        <v>0</v>
      </c>
      <c r="AE63" s="185">
        <v>0</v>
      </c>
      <c r="AF63" s="185"/>
      <c r="AG63" s="185"/>
      <c r="AH63" s="185"/>
      <c r="AI63" s="185"/>
      <c r="AJ63" s="185"/>
      <c r="AK63" s="185">
        <v>0</v>
      </c>
      <c r="AL63" s="185">
        <v>0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/>
      <c r="BC63" s="185"/>
      <c r="BD63" s="185">
        <v>0</v>
      </c>
      <c r="BE63" s="185">
        <v>0</v>
      </c>
      <c r="BF63" s="185">
        <v>0</v>
      </c>
      <c r="BG63" s="185"/>
      <c r="BH63" s="185"/>
      <c r="BI63" s="185">
        <v>0</v>
      </c>
      <c r="BJ63" s="185">
        <v>0</v>
      </c>
      <c r="BK63" s="185"/>
      <c r="BL63" s="185">
        <v>0</v>
      </c>
      <c r="BM63" s="185"/>
      <c r="BN63" s="185">
        <f>18220.03+25064.28</f>
        <v>43284.31</v>
      </c>
      <c r="BO63" s="185"/>
      <c r="BP63" s="185"/>
      <c r="BQ63" s="185"/>
      <c r="BR63" s="185">
        <v>0</v>
      </c>
      <c r="BS63" s="185"/>
      <c r="BT63" s="185"/>
      <c r="BU63" s="185"/>
      <c r="BV63" s="185">
        <v>0</v>
      </c>
      <c r="BW63" s="185">
        <f>34663.49+42716.51+967</f>
        <v>78347</v>
      </c>
      <c r="BX63" s="185">
        <f>8672.49</f>
        <v>8672.49</v>
      </c>
      <c r="BY63" s="185">
        <v>0</v>
      </c>
      <c r="BZ63" s="185"/>
      <c r="CA63" s="185">
        <v>0</v>
      </c>
      <c r="CB63" s="185"/>
      <c r="CC63" s="185">
        <f>1550.89+1881.39</f>
        <v>3432.28</v>
      </c>
      <c r="CD63" s="249" t="s">
        <v>221</v>
      </c>
      <c r="CE63" s="195">
        <f t="shared" si="0"/>
        <v>1030164.3300000001</v>
      </c>
      <c r="CF63" s="252"/>
    </row>
    <row r="64" spans="1:84" ht="12.6" customHeight="1" x14ac:dyDescent="0.25">
      <c r="A64" s="171" t="s">
        <v>237</v>
      </c>
      <c r="B64" s="175"/>
      <c r="C64" s="184">
        <f>5042.17</f>
        <v>5042.17</v>
      </c>
      <c r="D64" s="184"/>
      <c r="E64" s="185">
        <f>407780.1+436640.08+110.98</f>
        <v>844531.15999999992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0</v>
      </c>
      <c r="Q64" s="185"/>
      <c r="R64" s="185"/>
      <c r="S64" s="185">
        <v>0</v>
      </c>
      <c r="T64" s="185"/>
      <c r="U64" s="185">
        <f>47914.35+62342.33</f>
        <v>110256.68</v>
      </c>
      <c r="V64" s="185"/>
      <c r="W64" s="185"/>
      <c r="X64" s="185">
        <v>0</v>
      </c>
      <c r="Y64" s="185">
        <f>775.16+449.41</f>
        <v>1224.57</v>
      </c>
      <c r="Z64" s="185"/>
      <c r="AA64" s="185"/>
      <c r="AB64" s="185">
        <f>22869.62+16678.17+843658.71+765835.26</f>
        <v>1649041.76</v>
      </c>
      <c r="AC64" s="185">
        <f>81842.24+73537.16</f>
        <v>155379.40000000002</v>
      </c>
      <c r="AD64" s="185">
        <v>0</v>
      </c>
      <c r="AE64" s="185">
        <f>2103.83+6877.52</f>
        <v>8981.35</v>
      </c>
      <c r="AF64" s="185"/>
      <c r="AG64" s="185"/>
      <c r="AH64" s="185"/>
      <c r="AI64" s="185"/>
      <c r="AJ64" s="185"/>
      <c r="AK64" s="185">
        <v>0</v>
      </c>
      <c r="AL64" s="185">
        <v>0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147196.1+175726.62</f>
        <v>322922.71999999997</v>
      </c>
      <c r="AZ64" s="185"/>
      <c r="BA64" s="185">
        <v>346.49</v>
      </c>
      <c r="BB64" s="185"/>
      <c r="BC64" s="185"/>
      <c r="BD64" s="185">
        <f>13.12+130487.8+180625.74</f>
        <v>311126.65999999997</v>
      </c>
      <c r="BE64" s="185">
        <f>18291.92+3436.35+23341.77+2313.45</f>
        <v>47383.489999999991</v>
      </c>
      <c r="BF64" s="185">
        <f>84737.71+684.82+91371.89+440.95</f>
        <v>177235.37000000002</v>
      </c>
      <c r="BG64" s="185"/>
      <c r="BH64" s="185"/>
      <c r="BI64" s="185">
        <f>2742.1+373.85+2203.2+1120.91</f>
        <v>6440.0599999999995</v>
      </c>
      <c r="BJ64" s="185">
        <v>0</v>
      </c>
      <c r="BK64" s="185"/>
      <c r="BL64" s="185">
        <f>2032.57+2644.6</f>
        <v>4677.17</v>
      </c>
      <c r="BM64" s="185"/>
      <c r="BN64" s="185">
        <f>10510.75+17561.74</f>
        <v>28072.49</v>
      </c>
      <c r="BO64" s="185"/>
      <c r="BP64" s="185"/>
      <c r="BQ64" s="185"/>
      <c r="BR64" s="185">
        <f>53.59+588.39</f>
        <v>641.98</v>
      </c>
      <c r="BS64" s="185"/>
      <c r="BT64" s="185"/>
      <c r="BU64" s="185"/>
      <c r="BV64" s="185">
        <f>944.61+1345.92</f>
        <v>2290.5300000000002</v>
      </c>
      <c r="BW64" s="185">
        <v>0</v>
      </c>
      <c r="BX64" s="185">
        <v>0</v>
      </c>
      <c r="BY64" s="185">
        <f>4823.94+11016.23</f>
        <v>15840.169999999998</v>
      </c>
      <c r="BZ64" s="185"/>
      <c r="CA64" s="185">
        <f>208.33+190.01</f>
        <v>398.34000000000003</v>
      </c>
      <c r="CB64" s="185"/>
      <c r="CC64" s="185">
        <f>3008.56+3751.66</f>
        <v>6760.2199999999993</v>
      </c>
      <c r="CD64" s="249" t="s">
        <v>221</v>
      </c>
      <c r="CE64" s="195">
        <f t="shared" si="0"/>
        <v>3698592.7800000003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>
        <v>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0</v>
      </c>
      <c r="Q65" s="185"/>
      <c r="R65" s="185"/>
      <c r="S65" s="185">
        <v>0</v>
      </c>
      <c r="T65" s="185"/>
      <c r="U65" s="185">
        <v>0</v>
      </c>
      <c r="V65" s="185"/>
      <c r="W65" s="185"/>
      <c r="X65" s="185">
        <v>0</v>
      </c>
      <c r="Y65" s="185">
        <v>0</v>
      </c>
      <c r="Z65" s="185"/>
      <c r="AA65" s="185"/>
      <c r="AB65" s="185">
        <v>0</v>
      </c>
      <c r="AC65" s="185">
        <v>43.74</v>
      </c>
      <c r="AD65" s="185">
        <v>0</v>
      </c>
      <c r="AE65" s="185">
        <v>0</v>
      </c>
      <c r="AF65" s="185"/>
      <c r="AG65" s="185"/>
      <c r="AH65" s="185"/>
      <c r="AI65" s="185"/>
      <c r="AJ65" s="185"/>
      <c r="AK65" s="185">
        <v>0</v>
      </c>
      <c r="AL65" s="185">
        <v>0</v>
      </c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/>
      <c r="BA65" s="185">
        <v>0</v>
      </c>
      <c r="BB65" s="185"/>
      <c r="BC65" s="185"/>
      <c r="BD65" s="185">
        <v>0</v>
      </c>
      <c r="BE65" s="185">
        <f>202248.99-21081.63+314410.76-41381</f>
        <v>454197.12</v>
      </c>
      <c r="BF65" s="185">
        <v>0</v>
      </c>
      <c r="BG65" s="185"/>
      <c r="BH65" s="185"/>
      <c r="BI65" s="185">
        <v>0</v>
      </c>
      <c r="BJ65" s="185">
        <v>0</v>
      </c>
      <c r="BK65" s="185"/>
      <c r="BL65" s="185">
        <f>169.48+1455.16</f>
        <v>1624.64</v>
      </c>
      <c r="BM65" s="185"/>
      <c r="BN65" s="185">
        <f>49667.35+27628.23</f>
        <v>77295.58</v>
      </c>
      <c r="BO65" s="185"/>
      <c r="BP65" s="185"/>
      <c r="BQ65" s="185"/>
      <c r="BR65" s="185">
        <v>0</v>
      </c>
      <c r="BS65" s="185"/>
      <c r="BT65" s="185"/>
      <c r="BU65" s="185"/>
      <c r="BV65" s="185">
        <v>0</v>
      </c>
      <c r="BW65" s="185">
        <v>0</v>
      </c>
      <c r="BX65" s="185">
        <v>0</v>
      </c>
      <c r="BY65" s="185">
        <v>0</v>
      </c>
      <c r="BZ65" s="185"/>
      <c r="CA65" s="185">
        <v>0</v>
      </c>
      <c r="CB65" s="185"/>
      <c r="CC65" s="185">
        <f>19437.07+8383.93+35780.49+418.1+19.08+10454.49</f>
        <v>74493.16</v>
      </c>
      <c r="CD65" s="249" t="s">
        <v>221</v>
      </c>
      <c r="CE65" s="195">
        <f t="shared" si="0"/>
        <v>607654.24</v>
      </c>
      <c r="CF65" s="252"/>
    </row>
    <row r="66" spans="1:84" ht="12.6" customHeight="1" x14ac:dyDescent="0.25">
      <c r="A66" s="171" t="s">
        <v>239</v>
      </c>
      <c r="B66" s="175"/>
      <c r="C66" s="184">
        <f>292156</f>
        <v>292156</v>
      </c>
      <c r="D66" s="184"/>
      <c r="E66" s="184">
        <f>27834.49+9552.78</f>
        <v>37387.270000000004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f>172421.19+143586.3</f>
        <v>316007.49</v>
      </c>
      <c r="Q66" s="185"/>
      <c r="R66" s="185"/>
      <c r="S66" s="184">
        <v>0</v>
      </c>
      <c r="T66" s="184"/>
      <c r="U66" s="185">
        <f>116660.63+164340.29+125695.93+198621.05</f>
        <v>605317.9</v>
      </c>
      <c r="V66" s="185"/>
      <c r="W66" s="185"/>
      <c r="X66" s="185">
        <f>182207.41+147648.88</f>
        <v>329856.29000000004</v>
      </c>
      <c r="Y66" s="185">
        <f>1825.86+6178.78+52894.06+22299.66+5674.7+7880.66+38435.45</f>
        <v>135189.16999999998</v>
      </c>
      <c r="Z66" s="185"/>
      <c r="AA66" s="185"/>
      <c r="AB66" s="185">
        <f>70561.86+69208.75+1431212</f>
        <v>1570982.6099999999</v>
      </c>
      <c r="AC66" s="185">
        <f>1500+1950.1</f>
        <v>3450.1</v>
      </c>
      <c r="AD66" s="185">
        <f>614602.92+435976.26</f>
        <v>1050579.1800000002</v>
      </c>
      <c r="AE66" s="185">
        <v>1366060</v>
      </c>
      <c r="AF66" s="185"/>
      <c r="AG66" s="185"/>
      <c r="AH66" s="185"/>
      <c r="AI66" s="185"/>
      <c r="AJ66" s="185"/>
      <c r="AK66" s="185">
        <v>0</v>
      </c>
      <c r="AL66" s="185">
        <v>0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f>-38251.8-39778.08</f>
        <v>-78029.88</v>
      </c>
      <c r="AZ66" s="185"/>
      <c r="BA66" s="185">
        <v>0</v>
      </c>
      <c r="BB66" s="185"/>
      <c r="BC66" s="185"/>
      <c r="BD66" s="185">
        <f>2294.11+2259.93</f>
        <v>4554.04</v>
      </c>
      <c r="BE66" s="185">
        <f>293710.84+799.83+263601.36+935.4+124142.24+151435.66</f>
        <v>834625.33000000007</v>
      </c>
      <c r="BF66" s="185">
        <v>0</v>
      </c>
      <c r="BG66" s="185"/>
      <c r="BH66" s="185"/>
      <c r="BI66" s="185">
        <v>0</v>
      </c>
      <c r="BJ66" s="185">
        <v>0</v>
      </c>
      <c r="BK66" s="185"/>
      <c r="BL66" s="185">
        <v>56.46</v>
      </c>
      <c r="BM66" s="185"/>
      <c r="BN66" s="185">
        <f>61109.55+56059.64</f>
        <v>117169.19</v>
      </c>
      <c r="BO66" s="185"/>
      <c r="BP66" s="185"/>
      <c r="BQ66" s="185"/>
      <c r="BR66" s="185">
        <v>0</v>
      </c>
      <c r="BS66" s="185"/>
      <c r="BT66" s="185"/>
      <c r="BU66" s="185"/>
      <c r="BV66" s="185">
        <f>10179.74+5703.48</f>
        <v>15883.22</v>
      </c>
      <c r="BW66" s="185">
        <v>0</v>
      </c>
      <c r="BX66" s="185">
        <f>8604.25+8005</f>
        <v>16609.25</v>
      </c>
      <c r="BY66" s="185">
        <v>0</v>
      </c>
      <c r="BZ66" s="185"/>
      <c r="CA66" s="185">
        <f>5962.5+1743.75</f>
        <v>7706.25</v>
      </c>
      <c r="CB66" s="185"/>
      <c r="CC66" s="185">
        <f>1434.07+2877.07+14+495.46+17+3332.08</f>
        <v>8169.68</v>
      </c>
      <c r="CD66" s="249" t="s">
        <v>221</v>
      </c>
      <c r="CE66" s="195">
        <f t="shared" si="0"/>
        <v>6633729.5499999998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122060</v>
      </c>
      <c r="D67" s="195">
        <f>ROUND(D51+D52,0)</f>
        <v>0</v>
      </c>
      <c r="E67" s="195">
        <f t="shared" ref="E67:BP67" si="3">ROUND(E51+E52,0)</f>
        <v>574290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48629</v>
      </c>
      <c r="T67" s="195">
        <f t="shared" si="3"/>
        <v>0</v>
      </c>
      <c r="U67" s="195">
        <f t="shared" si="3"/>
        <v>16692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14639</v>
      </c>
      <c r="Z67" s="195">
        <f t="shared" si="3"/>
        <v>0</v>
      </c>
      <c r="AA67" s="195">
        <f t="shared" si="3"/>
        <v>0</v>
      </c>
      <c r="AB67" s="195">
        <f t="shared" si="3"/>
        <v>51085</v>
      </c>
      <c r="AC67" s="195">
        <f t="shared" si="3"/>
        <v>28874</v>
      </c>
      <c r="AD67" s="195">
        <f t="shared" si="3"/>
        <v>0</v>
      </c>
      <c r="AE67" s="195">
        <f t="shared" si="3"/>
        <v>145516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148410</v>
      </c>
      <c r="AZ67" s="195">
        <f>ROUND(AZ51+AZ52,0)</f>
        <v>0</v>
      </c>
      <c r="BA67" s="195">
        <f>ROUND(BA51+BA52,0)</f>
        <v>20764</v>
      </c>
      <c r="BB67" s="195">
        <f t="shared" si="3"/>
        <v>0</v>
      </c>
      <c r="BC67" s="195">
        <f t="shared" si="3"/>
        <v>0</v>
      </c>
      <c r="BD67" s="195">
        <f t="shared" si="3"/>
        <v>59600</v>
      </c>
      <c r="BE67" s="195">
        <f t="shared" si="3"/>
        <v>265994</v>
      </c>
      <c r="BF67" s="195">
        <f t="shared" si="3"/>
        <v>113647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14942</v>
      </c>
      <c r="BK67" s="195">
        <f t="shared" si="3"/>
        <v>0</v>
      </c>
      <c r="BL67" s="195">
        <f t="shared" si="3"/>
        <v>454889</v>
      </c>
      <c r="BM67" s="195">
        <f t="shared" si="3"/>
        <v>0</v>
      </c>
      <c r="BN67" s="195">
        <f t="shared" si="3"/>
        <v>476797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13259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32240</v>
      </c>
      <c r="BW67" s="195">
        <f t="shared" si="4"/>
        <v>4577</v>
      </c>
      <c r="BX67" s="195">
        <f t="shared" si="4"/>
        <v>9457</v>
      </c>
      <c r="BY67" s="195">
        <f t="shared" si="4"/>
        <v>46408</v>
      </c>
      <c r="BZ67" s="195">
        <f t="shared" si="4"/>
        <v>0</v>
      </c>
      <c r="CA67" s="195">
        <f t="shared" si="4"/>
        <v>25846</v>
      </c>
      <c r="CB67" s="195">
        <f t="shared" si="4"/>
        <v>0</v>
      </c>
      <c r="CC67" s="195">
        <f t="shared" si="4"/>
        <v>27023</v>
      </c>
      <c r="CD67" s="249" t="s">
        <v>221</v>
      </c>
      <c r="CE67" s="195">
        <f t="shared" si="0"/>
        <v>2715638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/>
      <c r="E68" s="185">
        <f>81426.21+283796.01+30230.57+71984.94</f>
        <v>467437.73000000004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0</v>
      </c>
      <c r="Q68" s="185"/>
      <c r="R68" s="185"/>
      <c r="S68" s="185">
        <v>0</v>
      </c>
      <c r="T68" s="185"/>
      <c r="U68" s="185">
        <v>0</v>
      </c>
      <c r="V68" s="185"/>
      <c r="W68" s="185"/>
      <c r="X68" s="185">
        <v>0</v>
      </c>
      <c r="Y68" s="185"/>
      <c r="Z68" s="185"/>
      <c r="AA68" s="185"/>
      <c r="AB68" s="185">
        <v>0</v>
      </c>
      <c r="AC68" s="185">
        <f>43754.08+12817.04</f>
        <v>56571.12</v>
      </c>
      <c r="AD68" s="185">
        <v>0</v>
      </c>
      <c r="AE68" s="185">
        <v>21112.01</v>
      </c>
      <c r="AF68" s="185"/>
      <c r="AG68" s="185"/>
      <c r="AH68" s="185"/>
      <c r="AI68" s="185"/>
      <c r="AJ68" s="185"/>
      <c r="AK68" s="185">
        <v>0</v>
      </c>
      <c r="AL68" s="185">
        <v>0</v>
      </c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772.55</v>
      </c>
      <c r="AZ68" s="185"/>
      <c r="BA68" s="185">
        <v>0</v>
      </c>
      <c r="BB68" s="185"/>
      <c r="BC68" s="185"/>
      <c r="BD68" s="185">
        <f>5390.97+20467.07</f>
        <v>25858.04</v>
      </c>
      <c r="BE68" s="185">
        <f>3768.66+1035.26</f>
        <v>4803.92</v>
      </c>
      <c r="BF68" s="185">
        <v>0</v>
      </c>
      <c r="BG68" s="185"/>
      <c r="BH68" s="185"/>
      <c r="BI68" s="185">
        <v>0</v>
      </c>
      <c r="BJ68" s="185">
        <v>0</v>
      </c>
      <c r="BK68" s="185"/>
      <c r="BL68" s="185">
        <v>0</v>
      </c>
      <c r="BM68" s="185"/>
      <c r="BN68" s="185">
        <f>1900.27+2106.72</f>
        <v>4006.99</v>
      </c>
      <c r="BO68" s="185"/>
      <c r="BP68" s="185"/>
      <c r="BQ68" s="185"/>
      <c r="BR68" s="185">
        <v>0</v>
      </c>
      <c r="BS68" s="185"/>
      <c r="BT68" s="185"/>
      <c r="BU68" s="185"/>
      <c r="BV68" s="185">
        <v>0</v>
      </c>
      <c r="BW68" s="185">
        <v>0</v>
      </c>
      <c r="BX68" s="185">
        <v>0</v>
      </c>
      <c r="BY68" s="185">
        <v>0</v>
      </c>
      <c r="BZ68" s="185"/>
      <c r="CA68" s="185">
        <v>0</v>
      </c>
      <c r="CB68" s="185"/>
      <c r="CC68" s="185">
        <f>16+22-75979</f>
        <v>-75941</v>
      </c>
      <c r="CD68" s="249" t="s">
        <v>221</v>
      </c>
      <c r="CE68" s="195">
        <f t="shared" si="0"/>
        <v>504621.3600000001</v>
      </c>
      <c r="CF68" s="252"/>
    </row>
    <row r="69" spans="1:84" ht="12.6" customHeight="1" x14ac:dyDescent="0.25">
      <c r="A69" s="171" t="s">
        <v>241</v>
      </c>
      <c r="B69" s="175"/>
      <c r="C69" s="184">
        <f>1644.8+390.18</f>
        <v>2034.98</v>
      </c>
      <c r="D69" s="184"/>
      <c r="E69" s="185">
        <f>94.85+7871.07-237.8+0.69</f>
        <v>7728.8099999999995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f>122.35+1658.22</f>
        <v>1780.57</v>
      </c>
      <c r="Q69" s="185"/>
      <c r="R69" s="224"/>
      <c r="S69" s="185">
        <v>0</v>
      </c>
      <c r="T69" s="184"/>
      <c r="U69" s="185">
        <f>36714.71+27475.27</f>
        <v>64189.979999999996</v>
      </c>
      <c r="V69" s="185"/>
      <c r="W69" s="184"/>
      <c r="X69" s="185">
        <f>316.31</f>
        <v>316.31</v>
      </c>
      <c r="Y69" s="185">
        <f>453.57+457.48</f>
        <v>911.05</v>
      </c>
      <c r="Z69" s="185"/>
      <c r="AA69" s="185"/>
      <c r="AB69" s="185">
        <f>8988.6+10981.33</f>
        <v>19969.93</v>
      </c>
      <c r="AC69" s="185">
        <f>215.38+321.54</f>
        <v>536.92000000000007</v>
      </c>
      <c r="AD69" s="185">
        <v>0</v>
      </c>
      <c r="AE69" s="185">
        <f>24.93+8.76</f>
        <v>33.69</v>
      </c>
      <c r="AF69" s="185"/>
      <c r="AG69" s="185"/>
      <c r="AH69" s="185"/>
      <c r="AI69" s="185"/>
      <c r="AJ69" s="185"/>
      <c r="AK69" s="185">
        <v>0</v>
      </c>
      <c r="AL69" s="185">
        <v>0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f>106.67+30.6</f>
        <v>137.27000000000001</v>
      </c>
      <c r="AZ69" s="185"/>
      <c r="BA69" s="185">
        <f>93187.73+92689.14</f>
        <v>185876.87</v>
      </c>
      <c r="BB69" s="185"/>
      <c r="BC69" s="185"/>
      <c r="BD69" s="185">
        <f>8748.63+6748.03</f>
        <v>15496.66</v>
      </c>
      <c r="BE69" s="185">
        <f>99983.05-38262.72+116417.82-35861.52+707.96+538.13</f>
        <v>143522.72000000003</v>
      </c>
      <c r="BF69" s="185">
        <f>5943.75+6533.58</f>
        <v>12477.33</v>
      </c>
      <c r="BG69" s="185"/>
      <c r="BH69" s="224"/>
      <c r="BI69" s="185">
        <f>48.05+159.48+229.56</f>
        <v>437.09</v>
      </c>
      <c r="BJ69" s="185">
        <f>37.68+29.54+662.62</f>
        <v>729.84</v>
      </c>
      <c r="BK69" s="185"/>
      <c r="BL69" s="185">
        <f>46855.98+38159.26</f>
        <v>85015.24</v>
      </c>
      <c r="BM69" s="185"/>
      <c r="BN69" s="185">
        <f>238324.76+192111.54+2345902+8002</f>
        <v>2784340.3</v>
      </c>
      <c r="BO69" s="185"/>
      <c r="BP69" s="185"/>
      <c r="BQ69" s="185"/>
      <c r="BR69" s="185">
        <f>199.59+206.5</f>
        <v>406.09000000000003</v>
      </c>
      <c r="BS69" s="185"/>
      <c r="BT69" s="185"/>
      <c r="BU69" s="185"/>
      <c r="BV69" s="185">
        <v>27.69</v>
      </c>
      <c r="BW69" s="185">
        <v>0</v>
      </c>
      <c r="BX69" s="185">
        <f>14237.2+1328.82</f>
        <v>15566.02</v>
      </c>
      <c r="BY69" s="185">
        <f>3182.77+4370.38</f>
        <v>7553.15</v>
      </c>
      <c r="BZ69" s="185"/>
      <c r="CA69" s="185">
        <f>6942.86+5340.77</f>
        <v>12283.630000000001</v>
      </c>
      <c r="CB69" s="185"/>
      <c r="CC69" s="185">
        <f>36873.64+7183+1079.78+2941.32+9413.48+53.65+1606.64+6675.42+22917.48+8826.36+41343.35+16103.04+6403.26+885.86+2422.42+0.97+1262.35+5092.06+18874.88+7269.57+16103.04</f>
        <v>213331.57000000004</v>
      </c>
      <c r="CD69" s="188">
        <v>1321185</v>
      </c>
      <c r="CE69" s="195">
        <f t="shared" si="0"/>
        <v>4895888.709999999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/>
      <c r="E70" s="184">
        <v>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0</v>
      </c>
      <c r="Q70" s="184"/>
      <c r="R70" s="184"/>
      <c r="S70" s="184">
        <v>0</v>
      </c>
      <c r="T70" s="184"/>
      <c r="U70" s="185">
        <v>0</v>
      </c>
      <c r="V70" s="184"/>
      <c r="W70" s="184"/>
      <c r="X70" s="185">
        <v>0</v>
      </c>
      <c r="Y70" s="185">
        <v>0</v>
      </c>
      <c r="Z70" s="185"/>
      <c r="AA70" s="185"/>
      <c r="AB70" s="185">
        <v>0</v>
      </c>
      <c r="AC70" s="185">
        <v>0</v>
      </c>
      <c r="AD70" s="185">
        <v>0</v>
      </c>
      <c r="AE70" s="185">
        <v>0</v>
      </c>
      <c r="AF70" s="185"/>
      <c r="AG70" s="185"/>
      <c r="AH70" s="185"/>
      <c r="AI70" s="185"/>
      <c r="AJ70" s="185"/>
      <c r="AK70" s="185">
        <v>0</v>
      </c>
      <c r="AL70" s="185">
        <v>0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38337</v>
      </c>
      <c r="AZ70" s="185"/>
      <c r="BA70" s="185">
        <v>0</v>
      </c>
      <c r="BB70" s="185"/>
      <c r="BC70" s="185"/>
      <c r="BD70" s="185">
        <v>0</v>
      </c>
      <c r="BE70" s="185">
        <v>0</v>
      </c>
      <c r="BF70" s="185">
        <v>0</v>
      </c>
      <c r="BG70" s="185"/>
      <c r="BH70" s="185"/>
      <c r="BI70" s="185">
        <v>0</v>
      </c>
      <c r="BJ70" s="185">
        <v>0</v>
      </c>
      <c r="BK70" s="185"/>
      <c r="BL70" s="185">
        <v>0</v>
      </c>
      <c r="BM70" s="185"/>
      <c r="BN70" s="185">
        <v>43300</v>
      </c>
      <c r="BO70" s="185"/>
      <c r="BP70" s="185"/>
      <c r="BQ70" s="185"/>
      <c r="BR70" s="185">
        <v>0</v>
      </c>
      <c r="BS70" s="185"/>
      <c r="BT70" s="185"/>
      <c r="BU70" s="185"/>
      <c r="BV70" s="185">
        <v>0</v>
      </c>
      <c r="BW70" s="185">
        <v>0</v>
      </c>
      <c r="BX70" s="185">
        <v>0</v>
      </c>
      <c r="BY70" s="185">
        <v>0</v>
      </c>
      <c r="BZ70" s="185"/>
      <c r="CA70" s="185">
        <v>0</v>
      </c>
      <c r="CB70" s="185"/>
      <c r="CC70" s="185">
        <v>0</v>
      </c>
      <c r="CD70" s="188">
        <v>0</v>
      </c>
      <c r="CE70" s="195">
        <f t="shared" si="0"/>
        <v>81637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1495704.7199999997</v>
      </c>
      <c r="D71" s="195">
        <f t="shared" ref="D71:AI71" si="5">SUM(D61:D69)-D70</f>
        <v>0</v>
      </c>
      <c r="E71" s="195">
        <f t="shared" si="5"/>
        <v>10962527.67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317788.06</v>
      </c>
      <c r="Q71" s="195">
        <f t="shared" si="5"/>
        <v>0</v>
      </c>
      <c r="R71" s="195">
        <f t="shared" si="5"/>
        <v>0</v>
      </c>
      <c r="S71" s="195">
        <f t="shared" si="5"/>
        <v>48629</v>
      </c>
      <c r="T71" s="195">
        <f t="shared" si="5"/>
        <v>0</v>
      </c>
      <c r="U71" s="195">
        <f t="shared" si="5"/>
        <v>1270582.6600000001</v>
      </c>
      <c r="V71" s="195">
        <f t="shared" si="5"/>
        <v>0</v>
      </c>
      <c r="W71" s="195">
        <f t="shared" si="5"/>
        <v>0</v>
      </c>
      <c r="X71" s="195">
        <f t="shared" si="5"/>
        <v>330172.60000000003</v>
      </c>
      <c r="Y71" s="195">
        <f t="shared" si="5"/>
        <v>449498.18</v>
      </c>
      <c r="Z71" s="195">
        <f t="shared" si="5"/>
        <v>0</v>
      </c>
      <c r="AA71" s="195">
        <f t="shared" si="5"/>
        <v>0</v>
      </c>
      <c r="AB71" s="195">
        <f t="shared" si="5"/>
        <v>3291079.3000000003</v>
      </c>
      <c r="AC71" s="195">
        <f t="shared" si="5"/>
        <v>1796515.8400000001</v>
      </c>
      <c r="AD71" s="195">
        <f t="shared" si="5"/>
        <v>1050579.1800000002</v>
      </c>
      <c r="AE71" s="195">
        <f t="shared" si="5"/>
        <v>1541703.05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1137424.2900000003</v>
      </c>
      <c r="AZ71" s="195">
        <f t="shared" si="6"/>
        <v>0</v>
      </c>
      <c r="BA71" s="195">
        <f t="shared" si="6"/>
        <v>206987.36</v>
      </c>
      <c r="BB71" s="195">
        <f t="shared" si="6"/>
        <v>0</v>
      </c>
      <c r="BC71" s="195">
        <f t="shared" si="6"/>
        <v>0</v>
      </c>
      <c r="BD71" s="195">
        <f t="shared" si="6"/>
        <v>628802.79</v>
      </c>
      <c r="BE71" s="195">
        <f t="shared" si="6"/>
        <v>1750526.5799999998</v>
      </c>
      <c r="BF71" s="195">
        <f t="shared" si="6"/>
        <v>899918.19</v>
      </c>
      <c r="BG71" s="195">
        <f t="shared" si="6"/>
        <v>0</v>
      </c>
      <c r="BH71" s="195">
        <f t="shared" si="6"/>
        <v>0</v>
      </c>
      <c r="BI71" s="195">
        <f t="shared" si="6"/>
        <v>225164.77</v>
      </c>
      <c r="BJ71" s="195">
        <f t="shared" si="6"/>
        <v>212427.91</v>
      </c>
      <c r="BK71" s="195">
        <f t="shared" si="6"/>
        <v>0</v>
      </c>
      <c r="BL71" s="195">
        <f t="shared" si="6"/>
        <v>1550932.53</v>
      </c>
      <c r="BM71" s="195">
        <f t="shared" si="6"/>
        <v>0</v>
      </c>
      <c r="BN71" s="195">
        <f t="shared" si="6"/>
        <v>6267338.7800000003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39256.679999999993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194951.36</v>
      </c>
      <c r="BW71" s="195">
        <f t="shared" si="7"/>
        <v>82924</v>
      </c>
      <c r="BX71" s="195">
        <f t="shared" si="7"/>
        <v>774205</v>
      </c>
      <c r="BY71" s="195">
        <f t="shared" si="7"/>
        <v>1756486.0499999998</v>
      </c>
      <c r="BZ71" s="195">
        <f t="shared" si="7"/>
        <v>0</v>
      </c>
      <c r="CA71" s="195">
        <f t="shared" si="7"/>
        <v>300133.28000000003</v>
      </c>
      <c r="CB71" s="195">
        <f t="shared" si="7"/>
        <v>0</v>
      </c>
      <c r="CC71" s="195">
        <f t="shared" si="7"/>
        <v>784082.7200000002</v>
      </c>
      <c r="CD71" s="245">
        <f>CD69-CD70</f>
        <v>1321185</v>
      </c>
      <c r="CE71" s="195">
        <f>SUM(CE61:CE69)-CE70</f>
        <v>40687527.549999997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f>2870480+3530595</f>
        <v>6401075</v>
      </c>
      <c r="D73" s="184"/>
      <c r="E73" s="184">
        <f>35506870+26794704+17921.37+35340</f>
        <v>62354835.369999997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f>594919+611150.21</f>
        <v>1206069.21</v>
      </c>
      <c r="Q73" s="185"/>
      <c r="R73" s="185"/>
      <c r="S73" s="185">
        <f>429554.88+392487.67</f>
        <v>822042.55</v>
      </c>
      <c r="T73" s="185"/>
      <c r="U73" s="185">
        <f>1205265+3198037+388180+1725220.5+3225775+331598</f>
        <v>10074075.5</v>
      </c>
      <c r="V73" s="185"/>
      <c r="W73" s="185"/>
      <c r="X73" s="185">
        <f>697083+313560</f>
        <v>1010643</v>
      </c>
      <c r="Y73" s="185">
        <f>332519+185165+78977+348654+24353+120989+38692</f>
        <v>1129349</v>
      </c>
      <c r="Z73" s="185"/>
      <c r="AA73" s="185"/>
      <c r="AB73" s="185">
        <f>9348616.3+9142998.1</f>
        <v>18491614.399999999</v>
      </c>
      <c r="AC73" s="185">
        <f>9009165+6260739+52812+782+66588+10283</f>
        <v>15400369</v>
      </c>
      <c r="AD73" s="185">
        <f>1201278+1600556</f>
        <v>2801834</v>
      </c>
      <c r="AE73" s="185">
        <f>1209159.02+985106.06</f>
        <v>2194265.08</v>
      </c>
      <c r="AF73" s="185"/>
      <c r="AG73" s="185"/>
      <c r="AH73" s="185"/>
      <c r="AI73" s="185"/>
      <c r="AJ73" s="185"/>
      <c r="AK73" s="185">
        <v>1455516.08</v>
      </c>
      <c r="AL73" s="185">
        <v>781808.13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124123496.31999999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/>
      <c r="E74" s="185">
        <v>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0</v>
      </c>
      <c r="Q74" s="185"/>
      <c r="R74" s="185"/>
      <c r="S74" s="185">
        <v>0</v>
      </c>
      <c r="T74" s="185"/>
      <c r="U74" s="185">
        <v>0</v>
      </c>
      <c r="V74" s="185"/>
      <c r="W74" s="185"/>
      <c r="X74" s="185">
        <v>0</v>
      </c>
      <c r="Y74" s="185">
        <v>0</v>
      </c>
      <c r="Z74" s="185"/>
      <c r="AA74" s="185"/>
      <c r="AB74" s="185">
        <v>0</v>
      </c>
      <c r="AC74" s="185">
        <v>0</v>
      </c>
      <c r="AD74" s="185">
        <v>0</v>
      </c>
      <c r="AE74" s="185"/>
      <c r="AF74" s="185"/>
      <c r="AG74" s="185"/>
      <c r="AH74" s="185"/>
      <c r="AI74" s="185"/>
      <c r="AJ74" s="185"/>
      <c r="AK74" s="185">
        <v>0</v>
      </c>
      <c r="AL74" s="185">
        <v>0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6401075</v>
      </c>
      <c r="D75" s="195">
        <f t="shared" si="9"/>
        <v>0</v>
      </c>
      <c r="E75" s="195">
        <f t="shared" si="9"/>
        <v>62354835.369999997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1206069.21</v>
      </c>
      <c r="Q75" s="195">
        <f t="shared" si="9"/>
        <v>0</v>
      </c>
      <c r="R75" s="195">
        <f t="shared" si="9"/>
        <v>0</v>
      </c>
      <c r="S75" s="195">
        <f t="shared" si="9"/>
        <v>822042.55</v>
      </c>
      <c r="T75" s="195">
        <f t="shared" si="9"/>
        <v>0</v>
      </c>
      <c r="U75" s="195">
        <f t="shared" si="9"/>
        <v>10074075.5</v>
      </c>
      <c r="V75" s="195">
        <f t="shared" si="9"/>
        <v>0</v>
      </c>
      <c r="W75" s="195">
        <f t="shared" si="9"/>
        <v>0</v>
      </c>
      <c r="X75" s="195">
        <f t="shared" si="9"/>
        <v>1010643</v>
      </c>
      <c r="Y75" s="195">
        <f t="shared" si="9"/>
        <v>1129349</v>
      </c>
      <c r="Z75" s="195">
        <f t="shared" si="9"/>
        <v>0</v>
      </c>
      <c r="AA75" s="195">
        <f t="shared" si="9"/>
        <v>0</v>
      </c>
      <c r="AB75" s="195">
        <f t="shared" si="9"/>
        <v>18491614.399999999</v>
      </c>
      <c r="AC75" s="195">
        <f t="shared" si="9"/>
        <v>15400369</v>
      </c>
      <c r="AD75" s="195">
        <f t="shared" si="9"/>
        <v>2801834</v>
      </c>
      <c r="AE75" s="195">
        <f t="shared" si="9"/>
        <v>2194265.08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1455516.08</v>
      </c>
      <c r="AL75" s="195">
        <f t="shared" si="9"/>
        <v>781808.13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124123496.31999999</v>
      </c>
      <c r="CF75" s="252"/>
    </row>
    <row r="76" spans="1:84" ht="12.6" customHeight="1" x14ac:dyDescent="0.25">
      <c r="A76" s="171" t="s">
        <v>248</v>
      </c>
      <c r="B76" s="175"/>
      <c r="C76" s="184">
        <v>3627</v>
      </c>
      <c r="D76" s="184"/>
      <c r="E76" s="185">
        <v>17065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0</v>
      </c>
      <c r="Q76" s="185"/>
      <c r="R76" s="185"/>
      <c r="S76" s="185">
        <v>1445</v>
      </c>
      <c r="T76" s="185"/>
      <c r="U76" s="185">
        <v>496</v>
      </c>
      <c r="V76" s="185"/>
      <c r="W76" s="185"/>
      <c r="X76" s="185">
        <v>0</v>
      </c>
      <c r="Y76" s="185">
        <v>435</v>
      </c>
      <c r="Z76" s="185"/>
      <c r="AA76" s="185"/>
      <c r="AB76" s="185">
        <v>1518</v>
      </c>
      <c r="AC76" s="185">
        <v>858</v>
      </c>
      <c r="AD76" s="185">
        <v>0</v>
      </c>
      <c r="AE76" s="185">
        <v>4324</v>
      </c>
      <c r="AF76" s="185"/>
      <c r="AG76" s="185"/>
      <c r="AH76" s="185"/>
      <c r="AI76" s="185"/>
      <c r="AJ76" s="185"/>
      <c r="AK76" s="185">
        <v>0</v>
      </c>
      <c r="AL76" s="185"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4410</v>
      </c>
      <c r="AZ76" s="185"/>
      <c r="BA76" s="185">
        <v>617</v>
      </c>
      <c r="BB76" s="185"/>
      <c r="BC76" s="185"/>
      <c r="BD76" s="185">
        <v>1771</v>
      </c>
      <c r="BE76" s="185">
        <v>7904</v>
      </c>
      <c r="BF76" s="185">
        <v>3377</v>
      </c>
      <c r="BG76" s="185"/>
      <c r="BH76" s="185"/>
      <c r="BI76" s="185">
        <v>0</v>
      </c>
      <c r="BJ76" s="185">
        <v>444</v>
      </c>
      <c r="BK76" s="185"/>
      <c r="BL76" s="185">
        <v>13517</v>
      </c>
      <c r="BM76" s="185"/>
      <c r="BN76" s="185">
        <v>14168</v>
      </c>
      <c r="BO76" s="185"/>
      <c r="BP76" s="185"/>
      <c r="BQ76" s="185"/>
      <c r="BR76" s="185">
        <v>394</v>
      </c>
      <c r="BS76" s="185"/>
      <c r="BT76" s="185"/>
      <c r="BU76" s="185"/>
      <c r="BV76" s="185">
        <v>958</v>
      </c>
      <c r="BW76" s="185">
        <v>136</v>
      </c>
      <c r="BX76" s="185">
        <v>281</v>
      </c>
      <c r="BY76" s="185">
        <v>1379</v>
      </c>
      <c r="BZ76" s="185"/>
      <c r="CA76" s="185">
        <v>768</v>
      </c>
      <c r="CB76" s="185"/>
      <c r="CC76" s="185">
        <v>803</v>
      </c>
      <c r="CD76" s="249" t="s">
        <v>221</v>
      </c>
      <c r="CE76" s="195">
        <f t="shared" si="8"/>
        <v>80695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/>
      <c r="E77" s="184">
        <v>48373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0</v>
      </c>
      <c r="Q77" s="184"/>
      <c r="R77" s="184"/>
      <c r="S77" s="184">
        <v>0</v>
      </c>
      <c r="T77" s="184"/>
      <c r="U77" s="184">
        <v>0</v>
      </c>
      <c r="V77" s="184"/>
      <c r="W77" s="184"/>
      <c r="X77" s="184">
        <v>0</v>
      </c>
      <c r="Y77" s="184">
        <v>0</v>
      </c>
      <c r="Z77" s="184"/>
      <c r="AA77" s="184"/>
      <c r="AB77" s="184">
        <v>0</v>
      </c>
      <c r="AC77" s="184">
        <v>0</v>
      </c>
      <c r="AD77" s="184">
        <v>0</v>
      </c>
      <c r="AE77" s="184">
        <v>0</v>
      </c>
      <c r="AF77" s="184"/>
      <c r="AG77" s="184"/>
      <c r="AH77" s="184"/>
      <c r="AI77" s="184"/>
      <c r="AJ77" s="184"/>
      <c r="AK77" s="184">
        <v>0</v>
      </c>
      <c r="AL77" s="184">
        <v>0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>
        <v>0</v>
      </c>
      <c r="BB77" s="184"/>
      <c r="BC77" s="184"/>
      <c r="BD77" s="249" t="s">
        <v>221</v>
      </c>
      <c r="BE77" s="249" t="s">
        <v>221</v>
      </c>
      <c r="BF77" s="184">
        <v>0</v>
      </c>
      <c r="BG77" s="249" t="s">
        <v>221</v>
      </c>
      <c r="BH77" s="184"/>
      <c r="BI77" s="184">
        <v>0</v>
      </c>
      <c r="BJ77" s="249" t="s">
        <v>221</v>
      </c>
      <c r="BK77" s="184"/>
      <c r="BL77" s="184">
        <v>0</v>
      </c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/>
      <c r="BT77" s="184"/>
      <c r="BU77" s="184"/>
      <c r="BV77" s="184">
        <v>0</v>
      </c>
      <c r="BW77" s="184">
        <v>0</v>
      </c>
      <c r="BX77" s="184">
        <v>0</v>
      </c>
      <c r="BY77" s="184">
        <v>0</v>
      </c>
      <c r="BZ77" s="184"/>
      <c r="CA77" s="184">
        <v>0</v>
      </c>
      <c r="CB77" s="184"/>
      <c r="CC77" s="249" t="s">
        <v>221</v>
      </c>
      <c r="CD77" s="249" t="s">
        <v>221</v>
      </c>
      <c r="CE77" s="195">
        <f>SUM(C77:CD77)</f>
        <v>48373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3627</v>
      </c>
      <c r="D78" s="184"/>
      <c r="E78" s="184">
        <v>17065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0</v>
      </c>
      <c r="Q78" s="184"/>
      <c r="R78" s="184"/>
      <c r="S78" s="184">
        <v>0</v>
      </c>
      <c r="T78" s="184"/>
      <c r="U78" s="184">
        <v>0</v>
      </c>
      <c r="V78" s="184"/>
      <c r="W78" s="184"/>
      <c r="X78" s="184">
        <v>0</v>
      </c>
      <c r="Y78" s="184">
        <v>0</v>
      </c>
      <c r="Z78" s="184"/>
      <c r="AA78" s="184"/>
      <c r="AB78" s="184">
        <v>0</v>
      </c>
      <c r="AC78" s="184">
        <v>0</v>
      </c>
      <c r="AD78" s="184">
        <v>0</v>
      </c>
      <c r="AE78" s="184">
        <v>0</v>
      </c>
      <c r="AF78" s="184"/>
      <c r="AG78" s="184"/>
      <c r="AH78" s="184"/>
      <c r="AI78" s="184"/>
      <c r="AJ78" s="184"/>
      <c r="AK78" s="184">
        <v>0</v>
      </c>
      <c r="AL78" s="184">
        <v>0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0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0</v>
      </c>
      <c r="BJ78" s="249" t="s">
        <v>221</v>
      </c>
      <c r="BK78" s="184"/>
      <c r="BL78" s="184">
        <v>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0</v>
      </c>
      <c r="BW78" s="184">
        <v>0</v>
      </c>
      <c r="BX78" s="184">
        <v>0</v>
      </c>
      <c r="BY78" s="184">
        <v>0</v>
      </c>
      <c r="BZ78" s="184"/>
      <c r="CA78" s="184">
        <v>0</v>
      </c>
      <c r="CB78" s="184"/>
      <c r="CC78" s="249" t="s">
        <v>221</v>
      </c>
      <c r="CD78" s="249" t="s">
        <v>221</v>
      </c>
      <c r="CE78" s="195">
        <f t="shared" si="8"/>
        <v>20692</v>
      </c>
      <c r="CF78" s="195"/>
    </row>
    <row r="79" spans="1:84" ht="12.6" customHeight="1" x14ac:dyDescent="0.25">
      <c r="A79" s="171" t="s">
        <v>251</v>
      </c>
      <c r="B79" s="175"/>
      <c r="C79" s="225">
        <v>66871</v>
      </c>
      <c r="D79" s="225"/>
      <c r="E79" s="184">
        <v>179213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0</v>
      </c>
      <c r="Q79" s="184"/>
      <c r="R79" s="184"/>
      <c r="S79" s="184">
        <v>2675</v>
      </c>
      <c r="T79" s="184"/>
      <c r="U79" s="184">
        <v>2675</v>
      </c>
      <c r="V79" s="184"/>
      <c r="W79" s="184"/>
      <c r="X79" s="184">
        <v>0</v>
      </c>
      <c r="Y79" s="184">
        <v>2675</v>
      </c>
      <c r="Z79" s="184"/>
      <c r="AA79" s="184"/>
      <c r="AB79" s="184">
        <v>0</v>
      </c>
      <c r="AC79" s="184">
        <v>13374</v>
      </c>
      <c r="AD79" s="184">
        <v>0</v>
      </c>
      <c r="AE79" s="184">
        <v>0</v>
      </c>
      <c r="AF79" s="184"/>
      <c r="AG79" s="184"/>
      <c r="AH79" s="184"/>
      <c r="AI79" s="184"/>
      <c r="AJ79" s="184"/>
      <c r="AK79" s="184">
        <v>0</v>
      </c>
      <c r="AL79" s="184">
        <v>0</v>
      </c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>
        <v>0</v>
      </c>
      <c r="BJ79" s="249" t="s">
        <v>221</v>
      </c>
      <c r="BK79" s="184"/>
      <c r="BL79" s="184">
        <v>0</v>
      </c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>
        <v>0</v>
      </c>
      <c r="BW79" s="184">
        <v>0</v>
      </c>
      <c r="BX79" s="184">
        <v>0</v>
      </c>
      <c r="BY79" s="184">
        <v>0</v>
      </c>
      <c r="BZ79" s="184"/>
      <c r="CA79" s="184">
        <v>0</v>
      </c>
      <c r="CB79" s="184"/>
      <c r="CC79" s="249" t="s">
        <v>221</v>
      </c>
      <c r="CD79" s="249" t="s">
        <v>221</v>
      </c>
      <c r="CE79" s="195">
        <f t="shared" si="8"/>
        <v>267483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12.3</v>
      </c>
      <c r="D80" s="187"/>
      <c r="E80" s="187">
        <v>108.1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0</v>
      </c>
      <c r="Q80" s="187"/>
      <c r="R80" s="187"/>
      <c r="S80" s="187">
        <v>0</v>
      </c>
      <c r="T80" s="187"/>
      <c r="U80" s="187">
        <v>0</v>
      </c>
      <c r="V80" s="187"/>
      <c r="W80" s="187"/>
      <c r="X80" s="187">
        <v>0</v>
      </c>
      <c r="Y80" s="187">
        <v>0</v>
      </c>
      <c r="Z80" s="187"/>
      <c r="AA80" s="187"/>
      <c r="AB80" s="187">
        <v>0</v>
      </c>
      <c r="AC80" s="187">
        <v>0</v>
      </c>
      <c r="AD80" s="187">
        <v>0</v>
      </c>
      <c r="AE80" s="187">
        <v>0</v>
      </c>
      <c r="AF80" s="187"/>
      <c r="AG80" s="187"/>
      <c r="AH80" s="187"/>
      <c r="AI80" s="187"/>
      <c r="AJ80" s="187"/>
      <c r="AK80" s="187">
        <v>0</v>
      </c>
      <c r="AL80" s="187">
        <v>0</v>
      </c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120.39999999999999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 t="s">
        <v>1277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512</v>
      </c>
      <c r="D111" s="174">
        <v>20657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70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80</v>
      </c>
    </row>
    <row r="128" spans="1:5" ht="12.6" customHeight="1" x14ac:dyDescent="0.25">
      <c r="A128" s="173" t="s">
        <v>292</v>
      </c>
      <c r="B128" s="172" t="s">
        <v>256</v>
      </c>
      <c r="C128" s="189">
        <v>80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282</v>
      </c>
      <c r="C138" s="189">
        <v>67</v>
      </c>
      <c r="D138" s="174">
        <v>163</v>
      </c>
      <c r="E138" s="175">
        <f>SUM(B138:D138)</f>
        <v>512</v>
      </c>
    </row>
    <row r="139" spans="1:6" ht="12.6" customHeight="1" x14ac:dyDescent="0.25">
      <c r="A139" s="173" t="s">
        <v>215</v>
      </c>
      <c r="B139" s="174">
        <v>9452</v>
      </c>
      <c r="C139" s="189">
        <v>848</v>
      </c>
      <c r="D139" s="174">
        <v>10357</v>
      </c>
      <c r="E139" s="175">
        <f>SUM(B139:D139)</f>
        <v>20657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60645125.75</v>
      </c>
      <c r="C141" s="189">
        <v>3155580.55</v>
      </c>
      <c r="D141" s="174">
        <v>60322790.020000003</v>
      </c>
      <c r="E141" s="175">
        <f>SUM(B141:D141)</f>
        <v>124123496.31999999</v>
      </c>
      <c r="F141" s="199"/>
    </row>
    <row r="142" spans="1:6" ht="12.6" customHeight="1" x14ac:dyDescent="0.25">
      <c r="A142" s="173" t="s">
        <v>246</v>
      </c>
      <c r="B142" s="174">
        <v>0</v>
      </c>
      <c r="C142" s="189">
        <v>0</v>
      </c>
      <c r="D142" s="174">
        <v>0</v>
      </c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1209607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69973+16729</f>
        <v>86702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824986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19023+78702-6340-69408-2238+1065564-373410+18026+33+73941-66407-18026</f>
        <v>719460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115+10237-264-371+30116+27838-284</f>
        <v>67387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13552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20614+57764+137067+26973+6390+77-3928+3</f>
        <v>244960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3166654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-75979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580600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504621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195718+24298+45814-62019+13701</f>
        <v>217512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22149+1896+50+35581+1032+3480</f>
        <v>64188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281700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28579</f>
        <v>28579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137+262800+12900+734946-1</f>
        <v>1010782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1039361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124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124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3225342</v>
      </c>
      <c r="C195" s="189"/>
      <c r="D195" s="174"/>
      <c r="E195" s="175">
        <f t="shared" ref="E195:E203" si="10">SUM(B195:C195)-D195</f>
        <v>3225342</v>
      </c>
    </row>
    <row r="196" spans="1:8" ht="12.6" customHeight="1" x14ac:dyDescent="0.25">
      <c r="A196" s="173" t="s">
        <v>333</v>
      </c>
      <c r="B196" s="174">
        <v>0</v>
      </c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41865050</v>
      </c>
      <c r="C197" s="189">
        <v>30307.84</v>
      </c>
      <c r="D197" s="174"/>
      <c r="E197" s="175">
        <f t="shared" si="10"/>
        <v>41895357.840000004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7268313</v>
      </c>
      <c r="C200" s="189"/>
      <c r="D200" s="174">
        <v>650863.81999999995</v>
      </c>
      <c r="E200" s="175">
        <f t="shared" si="10"/>
        <v>6617449.1799999997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346280</v>
      </c>
      <c r="C202" s="189">
        <v>7947.02</v>
      </c>
      <c r="D202" s="174"/>
      <c r="E202" s="175">
        <f t="shared" si="10"/>
        <v>354227.02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52704985</v>
      </c>
      <c r="C204" s="191">
        <f>SUM(C195:C203)</f>
        <v>38254.86</v>
      </c>
      <c r="D204" s="175">
        <f>SUM(D195:D203)</f>
        <v>650863.81999999995</v>
      </c>
      <c r="E204" s="175">
        <f>SUM(E195:E203)</f>
        <v>52092376.040000007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133472</v>
      </c>
      <c r="C209" s="189">
        <v>11028.98</v>
      </c>
      <c r="D209" s="174"/>
      <c r="E209" s="175">
        <f t="shared" ref="E209:E216" si="11">SUM(B209:C209)-D209</f>
        <v>144500.98000000001</v>
      </c>
      <c r="H209" s="259"/>
    </row>
    <row r="210" spans="1:8" ht="12.6" customHeight="1" x14ac:dyDescent="0.25">
      <c r="A210" s="173" t="s">
        <v>334</v>
      </c>
      <c r="B210" s="174">
        <v>15131743</v>
      </c>
      <c r="C210" s="189">
        <v>2257913.08</v>
      </c>
      <c r="D210" s="174"/>
      <c r="E210" s="175">
        <f t="shared" si="11"/>
        <v>17389656.079999998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5213943</v>
      </c>
      <c r="C213" s="189">
        <v>437673</v>
      </c>
      <c r="D213" s="174">
        <v>733395</v>
      </c>
      <c r="E213" s="175">
        <f t="shared" si="11"/>
        <v>4918221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55161</v>
      </c>
      <c r="C215" s="189">
        <v>1042.23</v>
      </c>
      <c r="D215" s="174"/>
      <c r="E215" s="175">
        <f t="shared" si="11"/>
        <v>56203.23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20534319</v>
      </c>
      <c r="C217" s="191">
        <f>SUM(C208:C216)</f>
        <v>2707657.29</v>
      </c>
      <c r="D217" s="175">
        <f>SUM(D208:D216)</f>
        <v>733395</v>
      </c>
      <c r="E217" s="175">
        <f>SUM(E208:E216)</f>
        <v>22508581.289999999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923433</v>
      </c>
      <c r="D221" s="172">
        <f>C221</f>
        <v>923433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45092072.630000003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3573449.54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40313585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88979107.170000002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0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89902540.170000002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-4293.87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12222244.890000001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4795740.57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5535.1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342575.41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10650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7780970.9600000009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3225342.16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41895357.659999996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6617449.0800000001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354226.99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52092375.889999993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22508581.07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29583794.819999993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-3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-3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37364762.779999994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1444680.44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1283300.3400000001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1675587.42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4403568.2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-270264.87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137.32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-270127.55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-270127.55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16903224.609999999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16328097.52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37364762.780000001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37364762.779999994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124123496.31999999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124123496.31999999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923433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88979107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89902540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34220956.319999993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81637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81637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34302593.319999993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17516223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3166654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1030164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3698593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607654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3836458+1431212+1366060</f>
        <v>6633730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2715637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580600-75979</f>
        <v>504621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281700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1039361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124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1220800+2345902+8002</f>
        <v>3574704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40769165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-6466571.6800000072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-6466571.6800000072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-6466571.6800000072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Kindred Hospital Seattle Northgate/First Hill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512</v>
      </c>
      <c r="C414" s="194">
        <f>E138</f>
        <v>512</v>
      </c>
      <c r="D414" s="179"/>
    </row>
    <row r="415" spans="1:5" ht="12.6" customHeight="1" x14ac:dyDescent="0.25">
      <c r="A415" s="179" t="s">
        <v>464</v>
      </c>
      <c r="B415" s="179">
        <f>D111</f>
        <v>20657</v>
      </c>
      <c r="C415" s="179">
        <f>E139</f>
        <v>20657</v>
      </c>
      <c r="D415" s="194">
        <f>SUM(C59:H59)+N59</f>
        <v>20657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17516223</v>
      </c>
      <c r="C427" s="179">
        <f t="shared" ref="C427:C434" si="13">CE61</f>
        <v>17516222.579999998</v>
      </c>
      <c r="D427" s="179"/>
    </row>
    <row r="428" spans="1:7" ht="12.6" customHeight="1" x14ac:dyDescent="0.25">
      <c r="A428" s="179" t="s">
        <v>3</v>
      </c>
      <c r="B428" s="179">
        <f t="shared" si="12"/>
        <v>3166654</v>
      </c>
      <c r="C428" s="179">
        <f t="shared" si="13"/>
        <v>3166653</v>
      </c>
      <c r="D428" s="179">
        <f>D173</f>
        <v>3166654</v>
      </c>
    </row>
    <row r="429" spans="1:7" ht="12.6" customHeight="1" x14ac:dyDescent="0.25">
      <c r="A429" s="179" t="s">
        <v>236</v>
      </c>
      <c r="B429" s="179">
        <f t="shared" si="12"/>
        <v>1030164</v>
      </c>
      <c r="C429" s="179">
        <f t="shared" si="13"/>
        <v>1030164.3300000001</v>
      </c>
      <c r="D429" s="179"/>
    </row>
    <row r="430" spans="1:7" ht="12.6" customHeight="1" x14ac:dyDescent="0.25">
      <c r="A430" s="179" t="s">
        <v>237</v>
      </c>
      <c r="B430" s="179">
        <f t="shared" si="12"/>
        <v>3698593</v>
      </c>
      <c r="C430" s="179">
        <f t="shared" si="13"/>
        <v>3698592.7800000003</v>
      </c>
      <c r="D430" s="179"/>
    </row>
    <row r="431" spans="1:7" ht="12.6" customHeight="1" x14ac:dyDescent="0.25">
      <c r="A431" s="179" t="s">
        <v>444</v>
      </c>
      <c r="B431" s="179">
        <f t="shared" si="12"/>
        <v>607654</v>
      </c>
      <c r="C431" s="179">
        <f t="shared" si="13"/>
        <v>607654.24</v>
      </c>
      <c r="D431" s="179"/>
    </row>
    <row r="432" spans="1:7" ht="12.6" customHeight="1" x14ac:dyDescent="0.25">
      <c r="A432" s="179" t="s">
        <v>445</v>
      </c>
      <c r="B432" s="179">
        <f t="shared" si="12"/>
        <v>6633730</v>
      </c>
      <c r="C432" s="179">
        <f t="shared" si="13"/>
        <v>6633729.5499999998</v>
      </c>
      <c r="D432" s="179"/>
    </row>
    <row r="433" spans="1:7" ht="12.6" customHeight="1" x14ac:dyDescent="0.25">
      <c r="A433" s="179" t="s">
        <v>6</v>
      </c>
      <c r="B433" s="179">
        <f t="shared" si="12"/>
        <v>2715637</v>
      </c>
      <c r="C433" s="179">
        <f t="shared" si="13"/>
        <v>2715638</v>
      </c>
      <c r="D433" s="179">
        <f>C217</f>
        <v>2707657.29</v>
      </c>
    </row>
    <row r="434" spans="1:7" ht="12.6" customHeight="1" x14ac:dyDescent="0.25">
      <c r="A434" s="179" t="s">
        <v>474</v>
      </c>
      <c r="B434" s="179">
        <f t="shared" si="12"/>
        <v>504621</v>
      </c>
      <c r="C434" s="179">
        <f t="shared" si="13"/>
        <v>504621.3600000001</v>
      </c>
      <c r="D434" s="179">
        <f>D177</f>
        <v>504621</v>
      </c>
    </row>
    <row r="435" spans="1:7" ht="12.6" customHeight="1" x14ac:dyDescent="0.25">
      <c r="A435" s="179" t="s">
        <v>447</v>
      </c>
      <c r="B435" s="179">
        <f t="shared" si="12"/>
        <v>281700</v>
      </c>
      <c r="C435" s="179"/>
      <c r="D435" s="179">
        <f>D181</f>
        <v>281700</v>
      </c>
    </row>
    <row r="436" spans="1:7" ht="12.6" customHeight="1" x14ac:dyDescent="0.25">
      <c r="A436" s="179" t="s">
        <v>475</v>
      </c>
      <c r="B436" s="179">
        <f t="shared" si="12"/>
        <v>1039361</v>
      </c>
      <c r="C436" s="179"/>
      <c r="D436" s="179">
        <f>D186</f>
        <v>1039361</v>
      </c>
    </row>
    <row r="437" spans="1:7" ht="12.6" customHeight="1" x14ac:dyDescent="0.25">
      <c r="A437" s="194" t="s">
        <v>449</v>
      </c>
      <c r="B437" s="194">
        <f t="shared" si="12"/>
        <v>124</v>
      </c>
      <c r="C437" s="194"/>
      <c r="D437" s="194">
        <f>D190</f>
        <v>124</v>
      </c>
    </row>
    <row r="438" spans="1:7" ht="12.6" customHeight="1" x14ac:dyDescent="0.25">
      <c r="A438" s="194" t="s">
        <v>476</v>
      </c>
      <c r="B438" s="194">
        <f>C386+C387+C388</f>
        <v>1321185</v>
      </c>
      <c r="C438" s="194">
        <f>CD69</f>
        <v>1321185</v>
      </c>
      <c r="D438" s="194">
        <f>D181+D186+D190</f>
        <v>1321185</v>
      </c>
    </row>
    <row r="439" spans="1:7" ht="12.6" customHeight="1" x14ac:dyDescent="0.25">
      <c r="A439" s="179" t="s">
        <v>451</v>
      </c>
      <c r="B439" s="194">
        <f>C389</f>
        <v>3574704</v>
      </c>
      <c r="C439" s="194">
        <f>SUM(C69:CC69)</f>
        <v>3574703.7099999995</v>
      </c>
      <c r="D439" s="179"/>
    </row>
    <row r="440" spans="1:7" ht="12.6" customHeight="1" x14ac:dyDescent="0.25">
      <c r="A440" s="179" t="s">
        <v>477</v>
      </c>
      <c r="B440" s="194">
        <f>B438+B439</f>
        <v>4895889</v>
      </c>
      <c r="C440" s="194">
        <f>CE69</f>
        <v>4895888.709999999</v>
      </c>
      <c r="D440" s="179"/>
    </row>
    <row r="441" spans="1:7" ht="12.6" customHeight="1" x14ac:dyDescent="0.25">
      <c r="A441" s="179" t="s">
        <v>478</v>
      </c>
      <c r="B441" s="179">
        <f>D390</f>
        <v>40769165</v>
      </c>
      <c r="C441" s="179">
        <f>SUM(C427:C437)+C440</f>
        <v>40769164.549999997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923433</v>
      </c>
      <c r="C444" s="179">
        <f>C363</f>
        <v>923433</v>
      </c>
      <c r="D444" s="179"/>
    </row>
    <row r="445" spans="1:7" ht="12.6" customHeight="1" x14ac:dyDescent="0.25">
      <c r="A445" s="179" t="s">
        <v>343</v>
      </c>
      <c r="B445" s="179">
        <f>D229</f>
        <v>88979107.170000002</v>
      </c>
      <c r="C445" s="179">
        <f>C364</f>
        <v>88979107</v>
      </c>
      <c r="D445" s="179"/>
    </row>
    <row r="446" spans="1:7" ht="12.6" customHeight="1" x14ac:dyDescent="0.25">
      <c r="A446" s="179" t="s">
        <v>351</v>
      </c>
      <c r="B446" s="179">
        <f>D236</f>
        <v>0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89902540.170000002</v>
      </c>
      <c r="C448" s="179">
        <f>D367</f>
        <v>89902540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81637</v>
      </c>
      <c r="C458" s="194">
        <f>CE70</f>
        <v>81637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124123496.31999999</v>
      </c>
      <c r="C463" s="194">
        <f>CE73</f>
        <v>124123496.31999999</v>
      </c>
      <c r="D463" s="194">
        <f>E141+E147+E153</f>
        <v>124123496.31999999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124123496.31999999</v>
      </c>
      <c r="C465" s="194">
        <f>CE75</f>
        <v>124123496.31999999</v>
      </c>
      <c r="D465" s="194">
        <f>D463+D464</f>
        <v>124123496.31999999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3225342.16</v>
      </c>
      <c r="C468" s="179">
        <f>E195</f>
        <v>3225342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41895357.659999996</v>
      </c>
      <c r="C470" s="179">
        <f>E197</f>
        <v>41895357.840000004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6617449.0800000001</v>
      </c>
      <c r="C473" s="179">
        <f>SUM(E200:E201)</f>
        <v>6617449.1799999997</v>
      </c>
      <c r="D473" s="179"/>
    </row>
    <row r="474" spans="1:7" ht="12.6" customHeight="1" x14ac:dyDescent="0.25">
      <c r="A474" s="179" t="s">
        <v>339</v>
      </c>
      <c r="B474" s="179">
        <f t="shared" si="14"/>
        <v>354226.99</v>
      </c>
      <c r="C474" s="179">
        <f>E202</f>
        <v>354227.02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52092375.889999993</v>
      </c>
      <c r="C476" s="179">
        <f>E204</f>
        <v>52092376.040000007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22508581.07</v>
      </c>
      <c r="C478" s="179">
        <f>E217</f>
        <v>22508581.289999999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37364762.779999994</v>
      </c>
    </row>
    <row r="482" spans="1:12" ht="12.6" customHeight="1" x14ac:dyDescent="0.25">
      <c r="A482" s="180" t="s">
        <v>499</v>
      </c>
      <c r="C482" s="180">
        <f>D339</f>
        <v>37364762.780000001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Kindred Hospital Seattle Northgate/First Hill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1828791.49</v>
      </c>
      <c r="C496" s="240">
        <f>C71</f>
        <v>1495704.7199999997</v>
      </c>
      <c r="D496" s="240">
        <v>887</v>
      </c>
      <c r="E496" s="180">
        <f>C59</f>
        <v>1191</v>
      </c>
      <c r="F496" s="263">
        <f t="shared" ref="F496:G511" si="15">IF(B496=0,"",IF(D496=0,"",B496/D496))</f>
        <v>2061.7716910935737</v>
      </c>
      <c r="G496" s="264">
        <f t="shared" si="15"/>
        <v>1255.8393954659948</v>
      </c>
      <c r="H496" s="265">
        <f>IF(B496=0,"",IF(C496=0,"",IF(D496=0,"",IF(E496=0,"",IF(G496/F496-1&lt;-0.25,G496/F496-1,IF(G496/F496-1&gt;0.25,G496/F496-1,""))))))</f>
        <v>-0.39089308438419212</v>
      </c>
      <c r="I496" s="267" t="s">
        <v>1278</v>
      </c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12018084.24</v>
      </c>
      <c r="C498" s="240">
        <f>E71</f>
        <v>10962527.67</v>
      </c>
      <c r="D498" s="240">
        <v>22461</v>
      </c>
      <c r="E498" s="180">
        <f>E59</f>
        <v>19466</v>
      </c>
      <c r="F498" s="263">
        <f t="shared" si="15"/>
        <v>535.06452250567656</v>
      </c>
      <c r="G498" s="263">
        <f t="shared" si="15"/>
        <v>563.16283109010578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426046.77</v>
      </c>
      <c r="C509" s="240">
        <f>P71</f>
        <v>317788.06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51416</v>
      </c>
      <c r="C512" s="240">
        <f>S71</f>
        <v>48629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1243431.07</v>
      </c>
      <c r="C514" s="240">
        <f>U71</f>
        <v>1270582.6600000001</v>
      </c>
      <c r="D514" s="240">
        <v>100468</v>
      </c>
      <c r="E514" s="180">
        <f>U59</f>
        <v>120533</v>
      </c>
      <c r="F514" s="263">
        <f t="shared" si="17"/>
        <v>12.376389198550783</v>
      </c>
      <c r="G514" s="263">
        <f t="shared" si="17"/>
        <v>10.541367592277634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341763.29</v>
      </c>
      <c r="C517" s="240">
        <f>X71</f>
        <v>330172.60000000003</v>
      </c>
      <c r="D517" s="240">
        <v>387</v>
      </c>
      <c r="E517" s="180">
        <f>X59</f>
        <v>366</v>
      </c>
      <c r="F517" s="263">
        <f t="shared" si="17"/>
        <v>883.10927648578809</v>
      </c>
      <c r="G517" s="263">
        <f t="shared" si="17"/>
        <v>902.11092896174875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460401.07</v>
      </c>
      <c r="C518" s="240">
        <f>Y71</f>
        <v>449498.18</v>
      </c>
      <c r="D518" s="240">
        <v>2727</v>
      </c>
      <c r="E518" s="180">
        <f>Y59</f>
        <v>2803</v>
      </c>
      <c r="F518" s="263">
        <f t="shared" si="17"/>
        <v>168.83060872753941</v>
      </c>
      <c r="G518" s="263">
        <f t="shared" si="17"/>
        <v>160.36324652158402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3465525.56</v>
      </c>
      <c r="C521" s="240">
        <f>AB71</f>
        <v>3291079.3000000003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2015137.4900000002</v>
      </c>
      <c r="C522" s="240">
        <f>AC71</f>
        <v>1796515.8400000001</v>
      </c>
      <c r="D522" s="240">
        <v>61208</v>
      </c>
      <c r="E522" s="180">
        <f>AC59</f>
        <v>55049</v>
      </c>
      <c r="F522" s="263">
        <f t="shared" si="17"/>
        <v>32.922779538622407</v>
      </c>
      <c r="G522" s="263">
        <f t="shared" si="17"/>
        <v>32.634849679376558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1134839.8900000001</v>
      </c>
      <c r="C523" s="240">
        <f>AD71</f>
        <v>1050579.1800000002</v>
      </c>
      <c r="D523" s="240">
        <v>2230</v>
      </c>
      <c r="E523" s="180">
        <f>AD59</f>
        <v>1864</v>
      </c>
      <c r="F523" s="263">
        <f t="shared" si="17"/>
        <v>508.89681165919291</v>
      </c>
      <c r="G523" s="263">
        <f t="shared" si="17"/>
        <v>563.61543991416318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1729567.02</v>
      </c>
      <c r="C524" s="240">
        <f>AE71</f>
        <v>1541703.05</v>
      </c>
      <c r="D524" s="240">
        <v>19296</v>
      </c>
      <c r="E524" s="180">
        <f>AE59</f>
        <v>16734</v>
      </c>
      <c r="F524" s="263">
        <f t="shared" si="17"/>
        <v>89.633448383084584</v>
      </c>
      <c r="G524" s="263">
        <f t="shared" si="17"/>
        <v>92.129977889327122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13377</v>
      </c>
      <c r="E530" s="180">
        <f>AK59</f>
        <v>10515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4225</v>
      </c>
      <c r="E531" s="180">
        <f>AL59</f>
        <v>4053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1277778.6999999997</v>
      </c>
      <c r="C544" s="240">
        <f>AY71</f>
        <v>1137424.2900000003</v>
      </c>
      <c r="D544" s="240">
        <v>48932</v>
      </c>
      <c r="E544" s="180">
        <f>AY59</f>
        <v>48373</v>
      </c>
      <c r="F544" s="263">
        <f t="shared" ref="F544:G550" si="19">IF(B544=0,"",IF(D544=0,"",B544/D544))</f>
        <v>26.113355268535923</v>
      </c>
      <c r="G544" s="263">
        <f t="shared" si="19"/>
        <v>23.513618960990641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227263.22999999998</v>
      </c>
      <c r="C546" s="240">
        <f>BA71</f>
        <v>206987.36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645088.41</v>
      </c>
      <c r="C549" s="240">
        <f>BD71</f>
        <v>628802.79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1511553.24</v>
      </c>
      <c r="C550" s="240">
        <f>BE71</f>
        <v>1750526.5799999998</v>
      </c>
      <c r="D550" s="240">
        <v>80695</v>
      </c>
      <c r="E550" s="180">
        <f>BE59</f>
        <v>80695</v>
      </c>
      <c r="F550" s="263">
        <f t="shared" si="19"/>
        <v>18.731683995290911</v>
      </c>
      <c r="G550" s="263">
        <f t="shared" si="19"/>
        <v>21.693123241836542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977597.19000000006</v>
      </c>
      <c r="C551" s="240">
        <f>BF71</f>
        <v>899918.19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237208.63999999998</v>
      </c>
      <c r="C554" s="240">
        <f>BI71</f>
        <v>225164.77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292148.67999999993</v>
      </c>
      <c r="C555" s="240">
        <f>BJ71</f>
        <v>212427.91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1707992.43</v>
      </c>
      <c r="C557" s="240">
        <f>BL71</f>
        <v>1550932.53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5219489.66</v>
      </c>
      <c r="C559" s="240">
        <f>BN71</f>
        <v>6267338.7800000003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74953.22</v>
      </c>
      <c r="C563" s="240">
        <f>BR71</f>
        <v>39256.679999999993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195550.41999999998</v>
      </c>
      <c r="C567" s="240">
        <f>BV71</f>
        <v>194951.36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125876</v>
      </c>
      <c r="C568" s="240">
        <f>BW71</f>
        <v>82924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795455.04000000015</v>
      </c>
      <c r="C569" s="240">
        <f>BX71</f>
        <v>774205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1775681.84</v>
      </c>
      <c r="C570" s="240">
        <f>BY71</f>
        <v>1756486.0499999998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230405.43000000002</v>
      </c>
      <c r="C572" s="240">
        <f>CA71</f>
        <v>300133.28000000003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771216.3</v>
      </c>
      <c r="C574" s="240">
        <f>CC71</f>
        <v>784082.7200000002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1519170</v>
      </c>
      <c r="C575" s="240">
        <f>CD71</f>
        <v>1321185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72791</v>
      </c>
      <c r="E612" s="180">
        <f>SUM(C624:D647)+SUM(C668:D713)</f>
        <v>32773179.671704471</v>
      </c>
      <c r="F612" s="180">
        <f>CE64-(AX64+BD64+BE64+BG64+BJ64+BN64+BP64+BQ64+CB64+CC64+CD64)</f>
        <v>3305249.9200000004</v>
      </c>
      <c r="G612" s="180">
        <f>CE77-(AX77+AY77+BD77+BE77+BG77+BJ77+BN77+BP77+BQ77+CB77+CC77+CD77)</f>
        <v>48373</v>
      </c>
      <c r="H612" s="197">
        <f>CE60-(AX60+AY60+AZ60+BD60+BE60+BG60+BJ60+BN60+BO60+BP60+BQ60+BR60+CB60+CC60+CD60)</f>
        <v>205.8</v>
      </c>
      <c r="I612" s="180">
        <f>CE78-(AX78+AY78+AZ78+BD78+BE78+BF78+BG78+BJ78+BN78+BO78+BP78+BQ78+BR78+CB78+CC78+CD78)</f>
        <v>20692</v>
      </c>
      <c r="J612" s="180">
        <f>CE79-(AX79+AY79+AZ79+BA79+BD79+BE79+BF79+BG79+BJ79+BN79+BO79+BP79+BQ79+BR79+CB79+CC79+CD79)</f>
        <v>267483</v>
      </c>
      <c r="K612" s="180">
        <f>CE75-(AW75+AX75+AY75+AZ75+BA75+BB75+BC75+BD75+BE75+BF75+BG75+BH75+BI75+BJ75+BK75+BL75+BM75+BN75+BO75+BP75+BQ75+BR75+BS75+BT75+BU75+BV75+BW75+BX75+CB75+CC75+CD75)</f>
        <v>124123496.31999999</v>
      </c>
      <c r="L612" s="197">
        <f>CE80-(AW80+AX80+AY80+AZ80+BA80+BB80+BC80+BD80+BE80+BF80+BG80+BH80+BI80+BJ80+BK80+BL80+BM80+BN80+BO80+BP80+BQ80+BR80+BS80+BT80+BU80+BV80+BW80+BX80+BY80+BZ80+CA80+CB80+CC80+CD80)</f>
        <v>120.39999999999999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1750526.5799999998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1321185</v>
      </c>
      <c r="D615" s="266">
        <f>SUM(C614:C615)</f>
        <v>3071711.58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212427.91</v>
      </c>
      <c r="D617" s="180">
        <f>(D615/D612)*BJ76</f>
        <v>18736.381441661742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6267338.7800000003</v>
      </c>
      <c r="D619" s="180">
        <f>(D615/D612)*BN76</f>
        <v>597876.24384113424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784082.7200000002</v>
      </c>
      <c r="D620" s="180">
        <f>(D615/D612)*CC76</f>
        <v>33885.843012735095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7914347.8782955315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628802.79</v>
      </c>
      <c r="D624" s="180">
        <f>(D615/D612)*BD76</f>
        <v>74734.530480141781</v>
      </c>
      <c r="E624" s="180">
        <f>(E623/E612)*SUM(C624:D624)</f>
        <v>169896.21255611753</v>
      </c>
      <c r="F624" s="180">
        <f>SUM(C624:E624)</f>
        <v>873433.53303625935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1137424.2900000003</v>
      </c>
      <c r="D625" s="180">
        <f>(D615/D612)*AY76</f>
        <v>186097.84269758625</v>
      </c>
      <c r="E625" s="180">
        <f>(E623/E612)*SUM(C625:D625)</f>
        <v>319615.45042991382</v>
      </c>
      <c r="F625" s="180">
        <f>(F624/F612)*AY64</f>
        <v>85334.404070503282</v>
      </c>
      <c r="G625" s="180">
        <f>SUM(C625:F625)</f>
        <v>1728471.9871980036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39256.679999999993</v>
      </c>
      <c r="D626" s="180">
        <f>(D615/D612)*BR76</f>
        <v>16626.428576609746</v>
      </c>
      <c r="E626" s="180">
        <f>(E623/E612)*SUM(C626:D626)</f>
        <v>13495.131269722418</v>
      </c>
      <c r="F626" s="180">
        <f>(F624/F612)*BR64</f>
        <v>169.64734077918612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69547.887187111352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899918.19</v>
      </c>
      <c r="D629" s="180">
        <f>(D615/D612)*BF76</f>
        <v>142506.21650561196</v>
      </c>
      <c r="E629" s="180">
        <f>(E623/E612)*SUM(C629:D629)</f>
        <v>251733.56606085136</v>
      </c>
      <c r="F629" s="180">
        <f>(F624/F612)*BF64</f>
        <v>46835.585551754179</v>
      </c>
      <c r="G629" s="180">
        <f>(G625/G612)*BF77</f>
        <v>0</v>
      </c>
      <c r="H629" s="180">
        <f>(H628/H612)*BF60</f>
        <v>5136.6758272307698</v>
      </c>
      <c r="I629" s="180">
        <f>SUM(C629:H629)</f>
        <v>1346130.2339454482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206987.36</v>
      </c>
      <c r="D630" s="180">
        <f>(D615/D612)*BA76</f>
        <v>26036.818354741659</v>
      </c>
      <c r="E630" s="180">
        <f>(E623/E612)*SUM(C630:D630)</f>
        <v>56272.672655734837</v>
      </c>
      <c r="F630" s="180">
        <f>(F624/F612)*BA64</f>
        <v>91.562209269105281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289388.41321974556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225164.77</v>
      </c>
      <c r="D634" s="180">
        <f>(D615/D612)*BI76</f>
        <v>0</v>
      </c>
      <c r="E634" s="180">
        <f>(E623/E612)*SUM(C634:D634)</f>
        <v>54374.715470618874</v>
      </c>
      <c r="F634" s="180">
        <f>(F624/F612)*BI64</f>
        <v>1701.8272429957403</v>
      </c>
      <c r="G634" s="180">
        <f>(G625/G612)*BI77</f>
        <v>0</v>
      </c>
      <c r="H634" s="180">
        <f>(H628/H612)*BI60</f>
        <v>1824.8716754635632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1550932.53</v>
      </c>
      <c r="D637" s="180">
        <f>(D615/D612)*BL76</f>
        <v>570404.65753815719</v>
      </c>
      <c r="E637" s="180">
        <f>(E623/E612)*SUM(C637:D637)</f>
        <v>512278.65704581665</v>
      </c>
      <c r="F637" s="180">
        <f>(F624/F612)*BL64</f>
        <v>1235.9722310230632</v>
      </c>
      <c r="G637" s="180">
        <f>(G625/G612)*BL77</f>
        <v>0</v>
      </c>
      <c r="H637" s="180">
        <f>(H628/H612)*BL60</f>
        <v>2804.8953530273288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194951.36</v>
      </c>
      <c r="D642" s="180">
        <f>(D615/D612)*BV76</f>
        <v>40426.696894396286</v>
      </c>
      <c r="E642" s="180">
        <f>(E623/E612)*SUM(C642:D642)</f>
        <v>56841.107388424658</v>
      </c>
      <c r="F642" s="180">
        <f>(F624/F612)*BV64</f>
        <v>605.28727292898418</v>
      </c>
      <c r="G642" s="180">
        <f>(G625/G612)*BV77</f>
        <v>0</v>
      </c>
      <c r="H642" s="180">
        <f>(H628/H612)*BV60</f>
        <v>675.8783983198382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82924</v>
      </c>
      <c r="D643" s="180">
        <f>(D615/D612)*BW76</f>
        <v>5739.071792941435</v>
      </c>
      <c r="E643" s="180">
        <f>(E623/E612)*SUM(C643:D643)</f>
        <v>21411.117296423618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774205</v>
      </c>
      <c r="D644" s="180">
        <f>(D615/D612)*BX76</f>
        <v>11857.935101592229</v>
      </c>
      <c r="E644" s="180">
        <f>(E623/E612)*SUM(C644:D644)</f>
        <v>189825.20417447467</v>
      </c>
      <c r="F644" s="180">
        <f>(F624/F612)*BX64</f>
        <v>0</v>
      </c>
      <c r="G644" s="180">
        <f>(G625/G612)*BX77</f>
        <v>0</v>
      </c>
      <c r="H644" s="180">
        <f>(H628/H612)*BX60</f>
        <v>2635.9257534473691</v>
      </c>
      <c r="I644" s="180">
        <f>(I629/I612)*BX78</f>
        <v>0</v>
      </c>
      <c r="J644" s="180">
        <f>(J630/J612)*BX79</f>
        <v>0</v>
      </c>
      <c r="K644" s="180">
        <f>SUM(C631:J644)</f>
        <v>4302821.4806300513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1756486.0499999998</v>
      </c>
      <c r="D645" s="180">
        <f>(D615/D612)*BY76</f>
        <v>58192.500018134109</v>
      </c>
      <c r="E645" s="180">
        <f>(E623/E612)*SUM(C645:D645)</f>
        <v>438224.10507590178</v>
      </c>
      <c r="F645" s="180">
        <f>(F624/F612)*BY64</f>
        <v>4185.8667216895237</v>
      </c>
      <c r="G645" s="180">
        <f>(G625/G612)*BY77</f>
        <v>0</v>
      </c>
      <c r="H645" s="180">
        <f>(H628/H612)*BY60</f>
        <v>4967.7062276508104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300133.28000000003</v>
      </c>
      <c r="D647" s="180">
        <f>(D615/D612)*CA76</f>
        <v>32408.876007198691</v>
      </c>
      <c r="E647" s="180">
        <f>(E623/E612)*SUM(C647:D647)</f>
        <v>80305.125508211553</v>
      </c>
      <c r="F647" s="180">
        <f>(F624/F612)*CA64</f>
        <v>105.26390499078011</v>
      </c>
      <c r="G647" s="180">
        <f>(G625/G612)*CA77</f>
        <v>0</v>
      </c>
      <c r="H647" s="180">
        <f>(H628/H612)*CA60</f>
        <v>844.84799789979775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2675853.6214616764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18132747.289999999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1495704.7199999997</v>
      </c>
      <c r="D668" s="180">
        <f>(D615/D612)*C76</f>
        <v>153055.98083087194</v>
      </c>
      <c r="E668" s="180">
        <f>(E623/E612)*SUM(C668:D668)</f>
        <v>398156.84303906345</v>
      </c>
      <c r="F668" s="180">
        <f>(F624/F612)*C64</f>
        <v>1332.4258267494142</v>
      </c>
      <c r="G668" s="180">
        <f>(G625/G612)*C77</f>
        <v>0</v>
      </c>
      <c r="H668" s="180">
        <f>(H628/H612)*C60</f>
        <v>4122.8582297510129</v>
      </c>
      <c r="I668" s="180">
        <f>(I629/I612)*C78</f>
        <v>235956.61891166348</v>
      </c>
      <c r="J668" s="180">
        <f>(J630/J612)*C79</f>
        <v>72347.37377858632</v>
      </c>
      <c r="K668" s="180">
        <f>(K644/K612)*C75</f>
        <v>221897.41528160661</v>
      </c>
      <c r="L668" s="180">
        <f>(L647/L612)*C80</f>
        <v>273363.78358786233</v>
      </c>
      <c r="M668" s="180">
        <f t="shared" ref="M668:M713" si="20">ROUND(SUM(D668:L668),0)</f>
        <v>1360233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10962527.67</v>
      </c>
      <c r="D670" s="180">
        <f>(D615/D612)*E76</f>
        <v>720126.91284224694</v>
      </c>
      <c r="E670" s="180">
        <f>(E623/E612)*SUM(C670:D670)</f>
        <v>2821227.4010875188</v>
      </c>
      <c r="F670" s="180">
        <f>(F624/F612)*E64</f>
        <v>223172.78653409975</v>
      </c>
      <c r="G670" s="180">
        <f>(G625/G612)*E77</f>
        <v>1728471.9871980033</v>
      </c>
      <c r="H670" s="180">
        <f>(H628/H612)*E60</f>
        <v>36531.227429187253</v>
      </c>
      <c r="I670" s="180">
        <f>(I629/I612)*E78</f>
        <v>1110173.6150337849</v>
      </c>
      <c r="J670" s="180">
        <f>(J630/J612)*E79</f>
        <v>193889.57690152369</v>
      </c>
      <c r="K670" s="180">
        <f>(K644/K612)*E75</f>
        <v>2161570.7984851142</v>
      </c>
      <c r="L670" s="180">
        <f>(L647/L612)*E80</f>
        <v>2402489.8378738142</v>
      </c>
      <c r="M670" s="180">
        <f t="shared" si="20"/>
        <v>11397654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317788.06</v>
      </c>
      <c r="D681" s="180">
        <f>(D615/D612)*P76</f>
        <v>0</v>
      </c>
      <c r="E681" s="180">
        <f>(E623/E612)*SUM(C681:D681)</f>
        <v>76742.180148608328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41809.171170425157</v>
      </c>
      <c r="L681" s="180">
        <f>(L647/L612)*P80</f>
        <v>0</v>
      </c>
      <c r="M681" s="180">
        <f t="shared" si="20"/>
        <v>118551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48629</v>
      </c>
      <c r="D684" s="180">
        <f>(D615/D612)*S76</f>
        <v>60977.637800002747</v>
      </c>
      <c r="E684" s="180">
        <f>(E623/E612)*SUM(C684:D684)</f>
        <v>26468.748836979823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2894.0680542794098</v>
      </c>
      <c r="K684" s="180">
        <f>(K644/K612)*S75</f>
        <v>28496.63800166392</v>
      </c>
      <c r="L684" s="180">
        <f>(L647/L612)*S80</f>
        <v>0</v>
      </c>
      <c r="M684" s="180">
        <f t="shared" si="20"/>
        <v>118837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1270582.6600000001</v>
      </c>
      <c r="D686" s="180">
        <f>(D615/D612)*U76</f>
        <v>20930.732421315821</v>
      </c>
      <c r="E686" s="180">
        <f>(E623/E612)*SUM(C686:D686)</f>
        <v>311885.70591839385</v>
      </c>
      <c r="F686" s="180">
        <f>(F624/F612)*U64</f>
        <v>29136.036270821016</v>
      </c>
      <c r="G686" s="180">
        <f>(G625/G612)*U77</f>
        <v>0</v>
      </c>
      <c r="H686" s="180">
        <f>(H628/H612)*U60</f>
        <v>2399.3683140354256</v>
      </c>
      <c r="I686" s="180">
        <f>(I629/I612)*U78</f>
        <v>0</v>
      </c>
      <c r="J686" s="180">
        <f>(J630/J612)*U79</f>
        <v>2894.0680542794098</v>
      </c>
      <c r="K686" s="180">
        <f>(K644/K612)*U75</f>
        <v>349224.35915869736</v>
      </c>
      <c r="L686" s="180">
        <f>(L647/L612)*U80</f>
        <v>0</v>
      </c>
      <c r="M686" s="180">
        <f t="shared" si="20"/>
        <v>716470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330172.60000000003</v>
      </c>
      <c r="D689" s="180">
        <f>(D615/D612)*X76</f>
        <v>0</v>
      </c>
      <c r="E689" s="180">
        <f>(E623/E612)*SUM(C689:D689)</f>
        <v>79732.904846501784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35034.594887960033</v>
      </c>
      <c r="L689" s="180">
        <f>(L647/L612)*X80</f>
        <v>0</v>
      </c>
      <c r="M689" s="180">
        <f t="shared" si="20"/>
        <v>114767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449498.18</v>
      </c>
      <c r="D690" s="180">
        <f>(D615/D612)*Y76</f>
        <v>18356.589925952383</v>
      </c>
      <c r="E690" s="180">
        <f>(E623/E612)*SUM(C690:D690)</f>
        <v>112981.57343307089</v>
      </c>
      <c r="F690" s="180">
        <f>(F624/F612)*Y64</f>
        <v>323.60049237977501</v>
      </c>
      <c r="G690" s="180">
        <f>(G625/G612)*Y77</f>
        <v>0</v>
      </c>
      <c r="H690" s="180">
        <f>(H628/H612)*Y60</f>
        <v>743.46623815182204</v>
      </c>
      <c r="I690" s="180">
        <f>(I629/I612)*Y78</f>
        <v>0</v>
      </c>
      <c r="J690" s="180">
        <f>(J630/J612)*Y79</f>
        <v>2894.0680542794098</v>
      </c>
      <c r="K690" s="180">
        <f>(K644/K612)*Y75</f>
        <v>39149.615345995342</v>
      </c>
      <c r="L690" s="180">
        <f>(L647/L612)*Y80</f>
        <v>0</v>
      </c>
      <c r="M690" s="180">
        <f t="shared" si="20"/>
        <v>174449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3291079.3000000003</v>
      </c>
      <c r="D693" s="180">
        <f>(D615/D612)*AB76</f>
        <v>64058.168982978663</v>
      </c>
      <c r="E693" s="180">
        <f>(E623/E612)*SUM(C693:D693)</f>
        <v>810227.30705501512</v>
      </c>
      <c r="F693" s="180">
        <f>(F624/F612)*AB64</f>
        <v>435769.88289016613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641023.80299311236</v>
      </c>
      <c r="L693" s="180">
        <f>(L647/L612)*AB80</f>
        <v>0</v>
      </c>
      <c r="M693" s="180">
        <f t="shared" si="20"/>
        <v>1951079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1796515.8400000001</v>
      </c>
      <c r="D694" s="180">
        <f>(D615/D612)*AC76</f>
        <v>36206.791164292292</v>
      </c>
      <c r="E694" s="180">
        <f>(E623/E612)*SUM(C694:D694)</f>
        <v>442581.5442003755</v>
      </c>
      <c r="F694" s="180">
        <f>(F624/F612)*AC64</f>
        <v>41060.005018638396</v>
      </c>
      <c r="G694" s="180">
        <f>(G625/G612)*AC77</f>
        <v>0</v>
      </c>
      <c r="H694" s="180">
        <f>(H628/H612)*AC60</f>
        <v>6860.1657429463576</v>
      </c>
      <c r="I694" s="180">
        <f>(I629/I612)*AC78</f>
        <v>0</v>
      </c>
      <c r="J694" s="180">
        <f>(J630/J612)*AC79</f>
        <v>14469.258376797317</v>
      </c>
      <c r="K694" s="180">
        <f>(K644/K612)*AC75</f>
        <v>533863.77686294576</v>
      </c>
      <c r="L694" s="180">
        <f>(L647/L612)*AC80</f>
        <v>0</v>
      </c>
      <c r="M694" s="180">
        <f t="shared" si="20"/>
        <v>1075042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1050579.1800000002</v>
      </c>
      <c r="D695" s="180">
        <f>(D615/D612)*AD76</f>
        <v>0</v>
      </c>
      <c r="E695" s="180">
        <f>(E623/E612)*SUM(C695:D695)</f>
        <v>253702.85054742848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97127.39229709463</v>
      </c>
      <c r="L695" s="180">
        <f>(L647/L612)*AD80</f>
        <v>0</v>
      </c>
      <c r="M695" s="180">
        <f t="shared" si="20"/>
        <v>350830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1541703.05</v>
      </c>
      <c r="D696" s="180">
        <f>(D615/D612)*AE76</f>
        <v>182468.72376969681</v>
      </c>
      <c r="E696" s="180">
        <f>(E623/E612)*SUM(C696:D696)</f>
        <v>416367.7542503631</v>
      </c>
      <c r="F696" s="180">
        <f>(F624/F612)*AE64</f>
        <v>2373.3794574708613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76065.621742392919</v>
      </c>
      <c r="L696" s="180">
        <f>(L647/L612)*AE80</f>
        <v>0</v>
      </c>
      <c r="M696" s="180">
        <f t="shared" si="20"/>
        <v>677275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50456.408658360691</v>
      </c>
      <c r="L702" s="180">
        <f>(L647/L612)*AK80</f>
        <v>0</v>
      </c>
      <c r="M702" s="180">
        <f t="shared" si="20"/>
        <v>50456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27101.885744682932</v>
      </c>
      <c r="L703" s="180">
        <f>(L647/L612)*AL80</f>
        <v>0</v>
      </c>
      <c r="M703" s="180">
        <f t="shared" si="20"/>
        <v>27102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40687527.549999997</v>
      </c>
      <c r="D715" s="180">
        <f>SUM(D616:D647)+SUM(D668:D713)</f>
        <v>3071711.58</v>
      </c>
      <c r="E715" s="180">
        <f>SUM(E624:E647)+SUM(E668:E713)</f>
        <v>7914347.8782955315</v>
      </c>
      <c r="F715" s="180">
        <f>SUM(F625:F648)+SUM(F668:F713)</f>
        <v>873433.53303625924</v>
      </c>
      <c r="G715" s="180">
        <f>SUM(G626:G647)+SUM(G668:G713)</f>
        <v>1728471.9871980033</v>
      </c>
      <c r="H715" s="180">
        <f>SUM(H629:H647)+SUM(H668:H713)</f>
        <v>69547.887187111352</v>
      </c>
      <c r="I715" s="180">
        <f>SUM(I630:I647)+SUM(I668:I713)</f>
        <v>1346130.2339454484</v>
      </c>
      <c r="J715" s="180">
        <f>SUM(J631:J647)+SUM(J668:J713)</f>
        <v>289388.41321974562</v>
      </c>
      <c r="K715" s="180">
        <f>SUM(K668:K713)</f>
        <v>4302821.4806300532</v>
      </c>
      <c r="L715" s="180">
        <f>SUM(L668:L713)</f>
        <v>2675853.6214616764</v>
      </c>
      <c r="M715" s="180">
        <f>SUM(M668:M713)</f>
        <v>18132745</v>
      </c>
      <c r="N715" s="198" t="s">
        <v>742</v>
      </c>
    </row>
    <row r="716" spans="1:83" ht="12.6" customHeight="1" x14ac:dyDescent="0.25">
      <c r="C716" s="180">
        <f>CE71</f>
        <v>40687527.549999997</v>
      </c>
      <c r="D716" s="180">
        <f>D615</f>
        <v>3071711.58</v>
      </c>
      <c r="E716" s="180">
        <f>E623</f>
        <v>7914347.8782955315</v>
      </c>
      <c r="F716" s="180">
        <f>F624</f>
        <v>873433.53303625935</v>
      </c>
      <c r="G716" s="180">
        <f>G625</f>
        <v>1728471.9871980036</v>
      </c>
      <c r="H716" s="180">
        <f>H628</f>
        <v>69547.887187111352</v>
      </c>
      <c r="I716" s="180">
        <f>I629</f>
        <v>1346130.2339454482</v>
      </c>
      <c r="J716" s="180">
        <f>J630</f>
        <v>289388.41321974556</v>
      </c>
      <c r="K716" s="180">
        <f>K644</f>
        <v>4302821.4806300513</v>
      </c>
      <c r="L716" s="180">
        <f>L647</f>
        <v>2675853.6214616764</v>
      </c>
      <c r="M716" s="180">
        <f>C648</f>
        <v>18132747.289999999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148*2017*A</v>
      </c>
      <c r="B722" s="276">
        <f>ROUND(C165,0)</f>
        <v>1209607</v>
      </c>
      <c r="C722" s="276">
        <f>ROUND(C166,0)</f>
        <v>86702</v>
      </c>
      <c r="D722" s="276">
        <f>ROUND(C167,0)</f>
        <v>824986</v>
      </c>
      <c r="E722" s="276">
        <f>ROUND(C168,0)</f>
        <v>719460</v>
      </c>
      <c r="F722" s="276">
        <f>ROUND(C169,0)</f>
        <v>67387</v>
      </c>
      <c r="G722" s="276">
        <f>ROUND(C170,0)</f>
        <v>13552</v>
      </c>
      <c r="H722" s="276">
        <f>ROUND(C171+C172,0)</f>
        <v>244960</v>
      </c>
      <c r="I722" s="276">
        <f>ROUND(C175,0)</f>
        <v>-75979</v>
      </c>
      <c r="J722" s="276">
        <f>ROUND(C176,0)</f>
        <v>580600</v>
      </c>
      <c r="K722" s="276">
        <f>ROUND(C179,0)</f>
        <v>217512</v>
      </c>
      <c r="L722" s="276">
        <f>ROUND(C180,0)</f>
        <v>64188</v>
      </c>
      <c r="M722" s="276">
        <f>ROUND(C183,0)</f>
        <v>28579</v>
      </c>
      <c r="N722" s="276">
        <f>ROUND(C184,0)</f>
        <v>1010782</v>
      </c>
      <c r="O722" s="276">
        <f>ROUND(C185,0)</f>
        <v>0</v>
      </c>
      <c r="P722" s="276">
        <f>ROUND(C188,0)</f>
        <v>0</v>
      </c>
      <c r="Q722" s="276">
        <f>ROUND(C189,0)</f>
        <v>124</v>
      </c>
      <c r="R722" s="276">
        <f>ROUND(B195,0)</f>
        <v>3225342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41865050</v>
      </c>
      <c r="Y722" s="276">
        <f>ROUND(C197,0)</f>
        <v>30308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7268313</v>
      </c>
      <c r="AH722" s="276">
        <f>ROUND(C200,0)</f>
        <v>0</v>
      </c>
      <c r="AI722" s="276">
        <f>ROUND(D200,0)</f>
        <v>650864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346280</v>
      </c>
      <c r="AN722" s="276">
        <f>ROUND(C202,0)</f>
        <v>7947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133472</v>
      </c>
      <c r="AW722" s="276">
        <f>ROUND(C209,0)</f>
        <v>11029</v>
      </c>
      <c r="AX722" s="276">
        <f>ROUND(D209,0)</f>
        <v>0</v>
      </c>
      <c r="AY722" s="276">
        <f>ROUND(B210,0)</f>
        <v>15131743</v>
      </c>
      <c r="AZ722" s="276">
        <f>ROUND(C210,0)</f>
        <v>2257913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5213943</v>
      </c>
      <c r="BI722" s="276">
        <f>ROUND(C213,0)</f>
        <v>437673</v>
      </c>
      <c r="BJ722" s="276">
        <f>ROUND(D213,0)</f>
        <v>733395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55161</v>
      </c>
      <c r="BO722" s="276">
        <f>ROUND(C215,0)</f>
        <v>1042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45092073</v>
      </c>
      <c r="BU722" s="276">
        <f>ROUND(C224,0)</f>
        <v>3573450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40313585</v>
      </c>
      <c r="BZ722" s="276">
        <f>ROUND(C231,0)</f>
        <v>0</v>
      </c>
      <c r="CA722" s="276">
        <f>ROUND(C233,0)</f>
        <v>0</v>
      </c>
      <c r="CB722" s="276">
        <f>ROUND(C234,0)</f>
        <v>0</v>
      </c>
      <c r="CC722" s="276">
        <f>ROUND(C238+C239,0)</f>
        <v>0</v>
      </c>
      <c r="CD722" s="276">
        <f>D221</f>
        <v>923433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148*2017*A</v>
      </c>
      <c r="B726" s="276">
        <f>ROUND(C111,0)</f>
        <v>512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20657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10</v>
      </c>
      <c r="K726" s="276">
        <f>ROUND(C117,0)</f>
        <v>0</v>
      </c>
      <c r="L726" s="276">
        <f>ROUND(C118,0)</f>
        <v>70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80</v>
      </c>
      <c r="W726" s="276">
        <f>ROUND(C129,0)</f>
        <v>0</v>
      </c>
      <c r="X726" s="276">
        <f>ROUND(B138,0)</f>
        <v>282</v>
      </c>
      <c r="Y726" s="276">
        <f>ROUND(B139,0)</f>
        <v>9452</v>
      </c>
      <c r="Z726" s="276">
        <f>ROUND(B140,0)</f>
        <v>0</v>
      </c>
      <c r="AA726" s="276">
        <f>ROUND(B141,0)</f>
        <v>60645126</v>
      </c>
      <c r="AB726" s="276">
        <f>ROUND(B142,0)</f>
        <v>0</v>
      </c>
      <c r="AC726" s="276">
        <f>ROUND(C138,0)</f>
        <v>67</v>
      </c>
      <c r="AD726" s="276">
        <f>ROUND(C139,0)</f>
        <v>848</v>
      </c>
      <c r="AE726" s="276">
        <f>ROUND(C140,0)</f>
        <v>0</v>
      </c>
      <c r="AF726" s="276">
        <f>ROUND(C141,0)</f>
        <v>3155581</v>
      </c>
      <c r="AG726" s="276">
        <f>ROUND(C142,0)</f>
        <v>0</v>
      </c>
      <c r="AH726" s="276">
        <f>ROUND(D138,0)</f>
        <v>163</v>
      </c>
      <c r="AI726" s="276">
        <f>ROUND(D139,0)</f>
        <v>10357</v>
      </c>
      <c r="AJ726" s="276">
        <f>ROUND(D140,0)</f>
        <v>0</v>
      </c>
      <c r="AK726" s="276">
        <f>ROUND(D141,0)</f>
        <v>60322790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148*2017*A</v>
      </c>
      <c r="B730" s="276">
        <f>ROUND(C250,0)</f>
        <v>-4294</v>
      </c>
      <c r="C730" s="276">
        <f>ROUND(C251,0)</f>
        <v>0</v>
      </c>
      <c r="D730" s="276">
        <f>ROUND(C252,0)</f>
        <v>12222245</v>
      </c>
      <c r="E730" s="276">
        <f>ROUND(C253,0)</f>
        <v>4795741</v>
      </c>
      <c r="F730" s="276">
        <f>ROUND(C254,0)</f>
        <v>0</v>
      </c>
      <c r="G730" s="276">
        <f>ROUND(C255,0)</f>
        <v>5535</v>
      </c>
      <c r="H730" s="276">
        <f>ROUND(C256,0)</f>
        <v>0</v>
      </c>
      <c r="I730" s="276">
        <f>ROUND(C257,0)</f>
        <v>342575</v>
      </c>
      <c r="J730" s="276">
        <f>ROUND(C258,0)</f>
        <v>10650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3225342</v>
      </c>
      <c r="P730" s="276">
        <f>ROUND(C268,0)</f>
        <v>0</v>
      </c>
      <c r="Q730" s="276">
        <f>ROUND(C269,0)</f>
        <v>41895358</v>
      </c>
      <c r="R730" s="276">
        <f>ROUND(C270,0)</f>
        <v>0</v>
      </c>
      <c r="S730" s="276">
        <f>ROUND(C271,0)</f>
        <v>0</v>
      </c>
      <c r="T730" s="276">
        <f>ROUND(C272,0)</f>
        <v>6617449</v>
      </c>
      <c r="U730" s="276">
        <f>ROUND(C273,0)</f>
        <v>354227</v>
      </c>
      <c r="V730" s="276">
        <f>ROUND(C274,0)</f>
        <v>0</v>
      </c>
      <c r="W730" s="276">
        <f>ROUND(C275,0)</f>
        <v>0</v>
      </c>
      <c r="X730" s="276">
        <f>ROUND(C276,0)</f>
        <v>22508581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-3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1444680</v>
      </c>
      <c r="AI730" s="276">
        <f>ROUND(C306,0)</f>
        <v>1283300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1675587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-270265</v>
      </c>
      <c r="AZ730" s="276">
        <f>ROUND(C327,0)</f>
        <v>137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16328098</v>
      </c>
      <c r="BF730" s="276">
        <f>ROUND(C336,0)</f>
        <v>16903225</v>
      </c>
      <c r="BG730" s="276"/>
      <c r="BH730" s="276"/>
      <c r="BI730" s="276">
        <f>ROUND(CE60,2)</f>
        <v>242.3</v>
      </c>
      <c r="BJ730" s="276">
        <f>ROUND(C359,0)</f>
        <v>124123496</v>
      </c>
      <c r="BK730" s="276">
        <f>ROUND(C360,0)</f>
        <v>0</v>
      </c>
      <c r="BL730" s="276">
        <f>ROUND(C364,0)</f>
        <v>88979107</v>
      </c>
      <c r="BM730" s="276">
        <f>ROUND(C365,0)</f>
        <v>0</v>
      </c>
      <c r="BN730" s="276">
        <f>ROUND(C366,0)</f>
        <v>0</v>
      </c>
      <c r="BO730" s="276">
        <f>ROUND(C370,0)</f>
        <v>81637</v>
      </c>
      <c r="BP730" s="276">
        <f>ROUND(C371,0)</f>
        <v>0</v>
      </c>
      <c r="BQ730" s="276">
        <f>ROUND(C378,0)</f>
        <v>17516223</v>
      </c>
      <c r="BR730" s="276">
        <f>ROUND(C379,0)</f>
        <v>3166654</v>
      </c>
      <c r="BS730" s="276">
        <f>ROUND(C380,0)</f>
        <v>1030164</v>
      </c>
      <c r="BT730" s="276">
        <f>ROUND(C381,0)</f>
        <v>3698593</v>
      </c>
      <c r="BU730" s="276">
        <f>ROUND(C382,0)</f>
        <v>607654</v>
      </c>
      <c r="BV730" s="276">
        <f>ROUND(C383,0)</f>
        <v>6633730</v>
      </c>
      <c r="BW730" s="276">
        <f>ROUND(C384,0)</f>
        <v>2715637</v>
      </c>
      <c r="BX730" s="276">
        <f>ROUND(C385,0)</f>
        <v>504621</v>
      </c>
      <c r="BY730" s="276">
        <f>ROUND(C386,0)</f>
        <v>281700</v>
      </c>
      <c r="BZ730" s="276">
        <f>ROUND(C387,0)</f>
        <v>1039361</v>
      </c>
      <c r="CA730" s="276">
        <f>ROUND(C388,0)</f>
        <v>124</v>
      </c>
      <c r="CB730" s="276">
        <f>C363</f>
        <v>923433</v>
      </c>
      <c r="CC730" s="276">
        <f>ROUND(C389,0)</f>
        <v>3574704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148*2017*6010*A</v>
      </c>
      <c r="B734" s="276">
        <f>ROUND(C59,0)</f>
        <v>1191</v>
      </c>
      <c r="C734" s="276">
        <f>ROUND(C60,2)</f>
        <v>12.2</v>
      </c>
      <c r="D734" s="276">
        <f>ROUND(C61,0)</f>
        <v>965622</v>
      </c>
      <c r="E734" s="276">
        <f>ROUND(C62,0)</f>
        <v>108790</v>
      </c>
      <c r="F734" s="276">
        <f>ROUND(C63,0)</f>
        <v>0</v>
      </c>
      <c r="G734" s="276">
        <f>ROUND(C64,0)</f>
        <v>5042</v>
      </c>
      <c r="H734" s="276">
        <f>ROUND(C65,0)</f>
        <v>0</v>
      </c>
      <c r="I734" s="276">
        <f>ROUND(C66,0)</f>
        <v>292156</v>
      </c>
      <c r="J734" s="276">
        <f>ROUND(C67,0)</f>
        <v>122060</v>
      </c>
      <c r="K734" s="276">
        <f>ROUND(C68,0)</f>
        <v>0</v>
      </c>
      <c r="L734" s="276">
        <f>ROUND(C69,0)</f>
        <v>2035</v>
      </c>
      <c r="M734" s="276">
        <f>ROUND(C70,0)</f>
        <v>0</v>
      </c>
      <c r="N734" s="276">
        <f>ROUND(C75,0)</f>
        <v>6401075</v>
      </c>
      <c r="O734" s="276">
        <f>ROUND(C73,0)</f>
        <v>6401075</v>
      </c>
      <c r="P734" s="276">
        <f>IF(C76&gt;0,ROUND(C76,0),0)</f>
        <v>3627</v>
      </c>
      <c r="Q734" s="276">
        <f>IF(C77&gt;0,ROUND(C77,0),0)</f>
        <v>0</v>
      </c>
      <c r="R734" s="276">
        <f>IF(C78&gt;0,ROUND(C78,0),0)</f>
        <v>3627</v>
      </c>
      <c r="S734" s="276">
        <f>IF(C79&gt;0,ROUND(C79,0),0)</f>
        <v>66871</v>
      </c>
      <c r="T734" s="276">
        <f>IF(C80&gt;0,ROUND(C80,2),0)</f>
        <v>12.3</v>
      </c>
      <c r="U734" s="276"/>
      <c r="V734" s="276"/>
      <c r="W734" s="276"/>
      <c r="X734" s="276"/>
      <c r="Y734" s="276">
        <f>IF(M668&lt;&gt;0,ROUND(M668,0),0)</f>
        <v>1360233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148*2017*6030*A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148*2017*6070*A</v>
      </c>
      <c r="B736" s="276">
        <f>ROUND(E59,0)</f>
        <v>19466</v>
      </c>
      <c r="C736" s="278">
        <f>ROUND(E60,2)</f>
        <v>108.1</v>
      </c>
      <c r="D736" s="276">
        <f>ROUND(E61,0)</f>
        <v>7382883</v>
      </c>
      <c r="E736" s="276">
        <f>ROUND(E62,0)</f>
        <v>852195</v>
      </c>
      <c r="F736" s="276">
        <f>ROUND(E63,0)</f>
        <v>796075</v>
      </c>
      <c r="G736" s="276">
        <f>ROUND(E64,0)</f>
        <v>844531</v>
      </c>
      <c r="H736" s="276">
        <f>ROUND(E65,0)</f>
        <v>0</v>
      </c>
      <c r="I736" s="276">
        <f>ROUND(E66,0)</f>
        <v>37387</v>
      </c>
      <c r="J736" s="276">
        <f>ROUND(E67,0)</f>
        <v>574290</v>
      </c>
      <c r="K736" s="276">
        <f>ROUND(E68,0)</f>
        <v>467438</v>
      </c>
      <c r="L736" s="276">
        <f>ROUND(E69,0)</f>
        <v>7729</v>
      </c>
      <c r="M736" s="276">
        <f>ROUND(E70,0)</f>
        <v>0</v>
      </c>
      <c r="N736" s="276">
        <f>ROUND(E75,0)</f>
        <v>62354835</v>
      </c>
      <c r="O736" s="276">
        <f>ROUND(E73,0)</f>
        <v>62354835</v>
      </c>
      <c r="P736" s="276">
        <f>IF(E76&gt;0,ROUND(E76,0),0)</f>
        <v>17065</v>
      </c>
      <c r="Q736" s="276">
        <f>IF(E77&gt;0,ROUND(E77,0),0)</f>
        <v>48373</v>
      </c>
      <c r="R736" s="276">
        <f>IF(E78&gt;0,ROUND(E78,0),0)</f>
        <v>17065</v>
      </c>
      <c r="S736" s="276">
        <f>IF(E79&gt;0,ROUND(E79,0),0)</f>
        <v>179213</v>
      </c>
      <c r="T736" s="278">
        <f>IF(E80&gt;0,ROUND(E80,2),0)</f>
        <v>108.1</v>
      </c>
      <c r="U736" s="276"/>
      <c r="V736" s="277"/>
      <c r="W736" s="276"/>
      <c r="X736" s="276"/>
      <c r="Y736" s="276">
        <f t="shared" si="21"/>
        <v>11397654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148*2017*6100*A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148*2017*6120*A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148*2017*6140*A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148*2017*6150*A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148*2017*6170*A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148*2017*6200*A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148*2017*6210*A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148*2017*6330*A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148*2017*6400*A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148*2017*7010*A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148*2017*7020*A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316007</v>
      </c>
      <c r="J747" s="276">
        <f>ROUND(P67,0)</f>
        <v>0</v>
      </c>
      <c r="K747" s="276">
        <f>ROUND(P68,0)</f>
        <v>0</v>
      </c>
      <c r="L747" s="276">
        <f>ROUND(P69,0)</f>
        <v>1781</v>
      </c>
      <c r="M747" s="276">
        <f>ROUND(P70,0)</f>
        <v>0</v>
      </c>
      <c r="N747" s="276">
        <f>ROUND(P75,0)</f>
        <v>1206069</v>
      </c>
      <c r="O747" s="276">
        <f>ROUND(P73,0)</f>
        <v>1206069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118551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148*2017*7030*A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148*2017*7040*A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148*2017*7050*A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48629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822043</v>
      </c>
      <c r="O750" s="276">
        <f>ROUND(S73,0)</f>
        <v>822043</v>
      </c>
      <c r="P750" s="276">
        <f>IF(S76&gt;0,ROUND(S76,0),0)</f>
        <v>1445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2675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118837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148*2017*7060*A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148*2017*7070*A</v>
      </c>
      <c r="B752" s="276">
        <f>ROUND(U59,0)</f>
        <v>120533</v>
      </c>
      <c r="C752" s="278">
        <f>ROUND(U60,2)</f>
        <v>7.1</v>
      </c>
      <c r="D752" s="276">
        <f>ROUND(U61,0)</f>
        <v>390182</v>
      </c>
      <c r="E752" s="276">
        <f>ROUND(U62,0)</f>
        <v>52323</v>
      </c>
      <c r="F752" s="276">
        <f>ROUND(U63,0)</f>
        <v>31621</v>
      </c>
      <c r="G752" s="276">
        <f>ROUND(U64,0)</f>
        <v>110257</v>
      </c>
      <c r="H752" s="276">
        <f>ROUND(U65,0)</f>
        <v>0</v>
      </c>
      <c r="I752" s="276">
        <f>ROUND(U66,0)</f>
        <v>605318</v>
      </c>
      <c r="J752" s="276">
        <f>ROUND(U67,0)</f>
        <v>16692</v>
      </c>
      <c r="K752" s="276">
        <f>ROUND(U68,0)</f>
        <v>0</v>
      </c>
      <c r="L752" s="276">
        <f>ROUND(U69,0)</f>
        <v>64190</v>
      </c>
      <c r="M752" s="276">
        <f>ROUND(U70,0)</f>
        <v>0</v>
      </c>
      <c r="N752" s="276">
        <f>ROUND(U75,0)</f>
        <v>10074076</v>
      </c>
      <c r="O752" s="276">
        <f>ROUND(U73,0)</f>
        <v>10074076</v>
      </c>
      <c r="P752" s="276">
        <f>IF(U76&gt;0,ROUND(U76,0),0)</f>
        <v>496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2675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716470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148*2017*7110*A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148*2017*7120*A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148*2017*7130*A</v>
      </c>
      <c r="B755" s="276">
        <f>ROUND(X59,0)</f>
        <v>366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329856</v>
      </c>
      <c r="J755" s="276">
        <f>ROUND(X67,0)</f>
        <v>0</v>
      </c>
      <c r="K755" s="276">
        <f>ROUND(X68,0)</f>
        <v>0</v>
      </c>
      <c r="L755" s="276">
        <f>ROUND(X69,0)</f>
        <v>316</v>
      </c>
      <c r="M755" s="276">
        <f>ROUND(X70,0)</f>
        <v>0</v>
      </c>
      <c r="N755" s="276">
        <f>ROUND(X75,0)</f>
        <v>1010643</v>
      </c>
      <c r="O755" s="276">
        <f>ROUND(X73,0)</f>
        <v>1010643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114767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148*2017*7140*A</v>
      </c>
      <c r="B756" s="276">
        <f>ROUND(Y59,0)</f>
        <v>2803</v>
      </c>
      <c r="C756" s="278">
        <f>ROUND(Y60,2)</f>
        <v>2.2000000000000002</v>
      </c>
      <c r="D756" s="276">
        <f>ROUND(Y61,0)</f>
        <v>205102</v>
      </c>
      <c r="E756" s="276">
        <f>ROUND(Y62,0)</f>
        <v>23700</v>
      </c>
      <c r="F756" s="276">
        <f>ROUND(Y63,0)</f>
        <v>68732</v>
      </c>
      <c r="G756" s="276">
        <f>ROUND(Y64,0)</f>
        <v>1225</v>
      </c>
      <c r="H756" s="276">
        <f>ROUND(Y65,0)</f>
        <v>0</v>
      </c>
      <c r="I756" s="276">
        <f>ROUND(Y66,0)</f>
        <v>135189</v>
      </c>
      <c r="J756" s="276">
        <f>ROUND(Y67,0)</f>
        <v>14639</v>
      </c>
      <c r="K756" s="276">
        <f>ROUND(Y68,0)</f>
        <v>0</v>
      </c>
      <c r="L756" s="276">
        <f>ROUND(Y69,0)</f>
        <v>911</v>
      </c>
      <c r="M756" s="276">
        <f>ROUND(Y70,0)</f>
        <v>0</v>
      </c>
      <c r="N756" s="276">
        <f>ROUND(Y75,0)</f>
        <v>1129349</v>
      </c>
      <c r="O756" s="276">
        <f>ROUND(Y73,0)</f>
        <v>1129349</v>
      </c>
      <c r="P756" s="276">
        <f>IF(Y76&gt;0,ROUND(Y76,0),0)</f>
        <v>435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2675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174449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148*2017*7150*A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148*2017*7160*A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148*2017*7170*A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1649042</v>
      </c>
      <c r="H759" s="276">
        <f>ROUND(AB65,0)</f>
        <v>0</v>
      </c>
      <c r="I759" s="276">
        <f>ROUND(AB66,0)</f>
        <v>1570983</v>
      </c>
      <c r="J759" s="276">
        <f>ROUND(AB67,0)</f>
        <v>51085</v>
      </c>
      <c r="K759" s="276">
        <f>ROUND(AB68,0)</f>
        <v>0</v>
      </c>
      <c r="L759" s="276">
        <f>ROUND(AB69,0)</f>
        <v>19970</v>
      </c>
      <c r="M759" s="276">
        <f>ROUND(AB70,0)</f>
        <v>0</v>
      </c>
      <c r="N759" s="276">
        <f>ROUND(AB75,0)</f>
        <v>18491614</v>
      </c>
      <c r="O759" s="276">
        <f>ROUND(AB73,0)</f>
        <v>18491614</v>
      </c>
      <c r="P759" s="276">
        <f>IF(AB76&gt;0,ROUND(AB76,0),0)</f>
        <v>1518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1951079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148*2017*7180*A</v>
      </c>
      <c r="B760" s="276">
        <f>ROUND(AC59,0)</f>
        <v>55049</v>
      </c>
      <c r="C760" s="278">
        <f>ROUND(AC60,2)</f>
        <v>20.3</v>
      </c>
      <c r="D760" s="276">
        <f>ROUND(AC61,0)</f>
        <v>1345413</v>
      </c>
      <c r="E760" s="276">
        <f>ROUND(AC62,0)</f>
        <v>206248</v>
      </c>
      <c r="F760" s="276">
        <f>ROUND(AC63,0)</f>
        <v>0</v>
      </c>
      <c r="G760" s="276">
        <f>ROUND(AC64,0)</f>
        <v>155379</v>
      </c>
      <c r="H760" s="276">
        <f>ROUND(AC65,0)</f>
        <v>44</v>
      </c>
      <c r="I760" s="276">
        <f>ROUND(AC66,0)</f>
        <v>3450</v>
      </c>
      <c r="J760" s="276">
        <f>ROUND(AC67,0)</f>
        <v>28874</v>
      </c>
      <c r="K760" s="276">
        <f>ROUND(AC68,0)</f>
        <v>56571</v>
      </c>
      <c r="L760" s="276">
        <f>ROUND(AC69,0)</f>
        <v>537</v>
      </c>
      <c r="M760" s="276">
        <f>ROUND(AC70,0)</f>
        <v>0</v>
      </c>
      <c r="N760" s="276">
        <f>ROUND(AC75,0)</f>
        <v>15400369</v>
      </c>
      <c r="O760" s="276">
        <f>ROUND(AC73,0)</f>
        <v>15400369</v>
      </c>
      <c r="P760" s="276">
        <f>IF(AC76&gt;0,ROUND(AC76,0),0)</f>
        <v>858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13374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1075042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148*2017*7190*A</v>
      </c>
      <c r="B761" s="276">
        <f>ROUND(AD59,0)</f>
        <v>1864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1050579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2801834</v>
      </c>
      <c r="O761" s="276">
        <f>ROUND(AD73,0)</f>
        <v>2801834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350830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148*2017*7200*A</v>
      </c>
      <c r="B762" s="276">
        <f>ROUND(AE59,0)</f>
        <v>16734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8981</v>
      </c>
      <c r="H762" s="276">
        <f>ROUND(AE65,0)</f>
        <v>0</v>
      </c>
      <c r="I762" s="276">
        <f>ROUND(AE66,0)</f>
        <v>1366060</v>
      </c>
      <c r="J762" s="276">
        <f>ROUND(AE67,0)</f>
        <v>145516</v>
      </c>
      <c r="K762" s="276">
        <f>ROUND(AE68,0)</f>
        <v>21112</v>
      </c>
      <c r="L762" s="276">
        <f>ROUND(AE69,0)</f>
        <v>34</v>
      </c>
      <c r="M762" s="276">
        <f>ROUND(AE70,0)</f>
        <v>0</v>
      </c>
      <c r="N762" s="276">
        <f>ROUND(AE75,0)</f>
        <v>2194265</v>
      </c>
      <c r="O762" s="276">
        <f>ROUND(AE73,0)</f>
        <v>2194265</v>
      </c>
      <c r="P762" s="276">
        <f>IF(AE76&gt;0,ROUND(AE76,0),0)</f>
        <v>4324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677275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148*2017*7220*A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148*2017*7230*A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148*2017*7240*A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148*2017*7250*A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148*2017*7260*A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148*2017*7310*A</v>
      </c>
      <c r="B768" s="276">
        <f>ROUND(AK59,0)</f>
        <v>10515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1455516</v>
      </c>
      <c r="O768" s="276">
        <f>ROUND(AK73,0)</f>
        <v>1455516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50456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148*2017*7320*A</v>
      </c>
      <c r="B769" s="276">
        <f>ROUND(AL59,0)</f>
        <v>4053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781808</v>
      </c>
      <c r="O769" s="276">
        <f>ROUND(AL73,0)</f>
        <v>781808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27102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148*2017*7330*A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148*2017*7340*A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148*2017*7350*A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148*2017*7380*A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148*2017*7390*A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148*2017*7400*A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148*2017*7410*A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148*2017*7420*A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148*2017*7430*A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148*2017*7490*A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148*2017*8200*A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148*2017*8310*A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148*2017*8320*A</v>
      </c>
      <c r="B782" s="276">
        <f>ROUND(AY59,0)</f>
        <v>48373</v>
      </c>
      <c r="C782" s="278">
        <f>ROUND(AY60,2)</f>
        <v>17.399999999999999</v>
      </c>
      <c r="D782" s="276">
        <f>ROUND(AY61,0)</f>
        <v>676251</v>
      </c>
      <c r="E782" s="276">
        <f>ROUND(AY62,0)</f>
        <v>105298</v>
      </c>
      <c r="F782" s="276">
        <f>ROUND(AY63,0)</f>
        <v>0</v>
      </c>
      <c r="G782" s="276">
        <f>ROUND(AY64,0)</f>
        <v>322923</v>
      </c>
      <c r="H782" s="276">
        <f>ROUND(AY65,0)</f>
        <v>0</v>
      </c>
      <c r="I782" s="276">
        <f>ROUND(AY66,0)</f>
        <v>-78030</v>
      </c>
      <c r="J782" s="276">
        <f>ROUND(AY67,0)</f>
        <v>148410</v>
      </c>
      <c r="K782" s="276">
        <f>ROUND(AY68,0)</f>
        <v>773</v>
      </c>
      <c r="L782" s="276">
        <f>ROUND(AY69,0)</f>
        <v>137</v>
      </c>
      <c r="M782" s="276">
        <f>ROUND(AY70,0)</f>
        <v>38337</v>
      </c>
      <c r="N782" s="276"/>
      <c r="O782" s="276"/>
      <c r="P782" s="276">
        <f>IF(AY76&gt;0,ROUND(AY76,0),0)</f>
        <v>4410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148*2017*8330*A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148*2017*8350*A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346</v>
      </c>
      <c r="H784" s="276">
        <f>ROUND(BA65,0)</f>
        <v>0</v>
      </c>
      <c r="I784" s="276">
        <f>ROUND(BA66,0)</f>
        <v>0</v>
      </c>
      <c r="J784" s="276">
        <f>ROUND(BA67,0)</f>
        <v>20764</v>
      </c>
      <c r="K784" s="276">
        <f>ROUND(BA68,0)</f>
        <v>0</v>
      </c>
      <c r="L784" s="276">
        <f>ROUND(BA69,0)</f>
        <v>185877</v>
      </c>
      <c r="M784" s="276">
        <f>ROUND(BA70,0)</f>
        <v>0</v>
      </c>
      <c r="N784" s="276"/>
      <c r="O784" s="276"/>
      <c r="P784" s="276">
        <f>IF(BA76&gt;0,ROUND(BA76,0),0)</f>
        <v>617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148*2017*8360*A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148*2017*8370*A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148*2017*8420*A</v>
      </c>
      <c r="B787" s="276"/>
      <c r="C787" s="278">
        <f>ROUND(BD60,2)</f>
        <v>4.4000000000000004</v>
      </c>
      <c r="D787" s="276">
        <f>ROUND(BD61,0)</f>
        <v>182201</v>
      </c>
      <c r="E787" s="276">
        <f>ROUND(BD62,0)</f>
        <v>29966</v>
      </c>
      <c r="F787" s="276">
        <f>ROUND(BD63,0)</f>
        <v>0</v>
      </c>
      <c r="G787" s="276">
        <f>ROUND(BD64,0)</f>
        <v>311127</v>
      </c>
      <c r="H787" s="276">
        <f>ROUND(BD65,0)</f>
        <v>0</v>
      </c>
      <c r="I787" s="276">
        <f>ROUND(BD66,0)</f>
        <v>4554</v>
      </c>
      <c r="J787" s="276">
        <f>ROUND(BD67,0)</f>
        <v>59600</v>
      </c>
      <c r="K787" s="276">
        <f>ROUND(BD68,0)</f>
        <v>25858</v>
      </c>
      <c r="L787" s="276">
        <f>ROUND(BD69,0)</f>
        <v>15497</v>
      </c>
      <c r="M787" s="276">
        <f>ROUND(BD70,0)</f>
        <v>0</v>
      </c>
      <c r="N787" s="276"/>
      <c r="O787" s="276"/>
      <c r="P787" s="276">
        <f>IF(BD76&gt;0,ROUND(BD76,0),0)</f>
        <v>1771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148*2017*8430*A</v>
      </c>
      <c r="B788" s="276">
        <f>ROUND(BE59,0)</f>
        <v>80695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47383</v>
      </c>
      <c r="H788" s="276">
        <f>ROUND(BE65,0)</f>
        <v>454197</v>
      </c>
      <c r="I788" s="276">
        <f>ROUND(BE66,0)</f>
        <v>834625</v>
      </c>
      <c r="J788" s="276">
        <f>ROUND(BE67,0)</f>
        <v>265994</v>
      </c>
      <c r="K788" s="276">
        <f>ROUND(BE68,0)</f>
        <v>4804</v>
      </c>
      <c r="L788" s="276">
        <f>ROUND(BE69,0)</f>
        <v>143523</v>
      </c>
      <c r="M788" s="276">
        <f>ROUND(BE70,0)</f>
        <v>0</v>
      </c>
      <c r="N788" s="276"/>
      <c r="O788" s="276"/>
      <c r="P788" s="276">
        <f>IF(BE76&gt;0,ROUND(BE76,0),0)</f>
        <v>7904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148*2017*8460*A</v>
      </c>
      <c r="B789" s="276"/>
      <c r="C789" s="278">
        <f>ROUND(BF60,2)</f>
        <v>15.2</v>
      </c>
      <c r="D789" s="276">
        <f>ROUND(BF61,0)</f>
        <v>513641</v>
      </c>
      <c r="E789" s="276">
        <f>ROUND(BF62,0)</f>
        <v>82917</v>
      </c>
      <c r="F789" s="276">
        <f>ROUND(BF63,0)</f>
        <v>0</v>
      </c>
      <c r="G789" s="276">
        <f>ROUND(BF64,0)</f>
        <v>177235</v>
      </c>
      <c r="H789" s="276">
        <f>ROUND(BF65,0)</f>
        <v>0</v>
      </c>
      <c r="I789" s="276">
        <f>ROUND(BF66,0)</f>
        <v>0</v>
      </c>
      <c r="J789" s="276">
        <f>ROUND(BF67,0)</f>
        <v>113647</v>
      </c>
      <c r="K789" s="276">
        <f>ROUND(BF68,0)</f>
        <v>0</v>
      </c>
      <c r="L789" s="276">
        <f>ROUND(BF69,0)</f>
        <v>12477</v>
      </c>
      <c r="M789" s="276">
        <f>ROUND(BF70,0)</f>
        <v>0</v>
      </c>
      <c r="N789" s="276"/>
      <c r="O789" s="276"/>
      <c r="P789" s="276">
        <f>IF(BF76&gt;0,ROUND(BF76,0),0)</f>
        <v>3377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148*2017*8470*A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148*2017*8480*A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148*2017*8490*A</v>
      </c>
      <c r="B792" s="276"/>
      <c r="C792" s="278">
        <f>ROUND(BI60,2)</f>
        <v>5.4</v>
      </c>
      <c r="D792" s="276">
        <f>ROUND(BI61,0)</f>
        <v>193480</v>
      </c>
      <c r="E792" s="276">
        <f>ROUND(BI62,0)</f>
        <v>24808</v>
      </c>
      <c r="F792" s="276">
        <f>ROUND(BI63,0)</f>
        <v>0</v>
      </c>
      <c r="G792" s="276">
        <f>ROUND(BI64,0)</f>
        <v>6440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437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148*2017*8510*A</v>
      </c>
      <c r="B793" s="276"/>
      <c r="C793" s="278">
        <f>ROUND(BJ60,2)</f>
        <v>3.1</v>
      </c>
      <c r="D793" s="276">
        <f>ROUND(BJ61,0)</f>
        <v>170006</v>
      </c>
      <c r="E793" s="276">
        <f>ROUND(BJ62,0)</f>
        <v>26750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14942</v>
      </c>
      <c r="K793" s="276">
        <f>ROUND(BJ68,0)</f>
        <v>0</v>
      </c>
      <c r="L793" s="276">
        <f>ROUND(BJ69,0)</f>
        <v>730</v>
      </c>
      <c r="M793" s="276">
        <f>ROUND(BJ70,0)</f>
        <v>0</v>
      </c>
      <c r="N793" s="276"/>
      <c r="O793" s="276"/>
      <c r="P793" s="276">
        <f>IF(BJ76&gt;0,ROUND(BJ76,0),0)</f>
        <v>444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148*2017*8530*A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148*2017*8560*A</v>
      </c>
      <c r="B795" s="276"/>
      <c r="C795" s="278">
        <f>ROUND(BL60,2)</f>
        <v>8.3000000000000007</v>
      </c>
      <c r="D795" s="276">
        <f>ROUND(BL61,0)</f>
        <v>880682</v>
      </c>
      <c r="E795" s="276">
        <f>ROUND(BL62,0)</f>
        <v>123988</v>
      </c>
      <c r="F795" s="276">
        <f>ROUND(BL63,0)</f>
        <v>0</v>
      </c>
      <c r="G795" s="276">
        <f>ROUND(BL64,0)</f>
        <v>4677</v>
      </c>
      <c r="H795" s="276">
        <f>ROUND(BL65,0)</f>
        <v>1625</v>
      </c>
      <c r="I795" s="276">
        <f>ROUND(BL66,0)</f>
        <v>56</v>
      </c>
      <c r="J795" s="276">
        <f>ROUND(BL67,0)</f>
        <v>454889</v>
      </c>
      <c r="K795" s="276">
        <f>ROUND(BL68,0)</f>
        <v>0</v>
      </c>
      <c r="L795" s="276">
        <f>ROUND(BL69,0)</f>
        <v>85015</v>
      </c>
      <c r="M795" s="276">
        <f>ROUND(BL70,0)</f>
        <v>0</v>
      </c>
      <c r="N795" s="276"/>
      <c r="O795" s="276"/>
      <c r="P795" s="276">
        <f>IF(BL76&gt;0,ROUND(BL76,0),0)</f>
        <v>13517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148*2017*8590*A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148*2017*8610*A</v>
      </c>
      <c r="B797" s="276"/>
      <c r="C797" s="278">
        <f>ROUND(BN60,2)</f>
        <v>10.6</v>
      </c>
      <c r="D797" s="276">
        <f>ROUND(BN61,0)</f>
        <v>1583985</v>
      </c>
      <c r="E797" s="276">
        <f>ROUND(BN62,0)</f>
        <v>1195688</v>
      </c>
      <c r="F797" s="276">
        <f>ROUND(BN63,0)</f>
        <v>43284</v>
      </c>
      <c r="G797" s="276">
        <f>ROUND(BN64,0)</f>
        <v>28072</v>
      </c>
      <c r="H797" s="276">
        <f>ROUND(BN65,0)</f>
        <v>77296</v>
      </c>
      <c r="I797" s="276">
        <f>ROUND(BN66,0)</f>
        <v>117169</v>
      </c>
      <c r="J797" s="276">
        <f>ROUND(BN67,0)</f>
        <v>476797</v>
      </c>
      <c r="K797" s="276">
        <f>ROUND(BN68,0)</f>
        <v>4007</v>
      </c>
      <c r="L797" s="276">
        <f>ROUND(BN69,0)</f>
        <v>2784340</v>
      </c>
      <c r="M797" s="276">
        <f>ROUND(BN70,0)</f>
        <v>43300</v>
      </c>
      <c r="N797" s="276"/>
      <c r="O797" s="276"/>
      <c r="P797" s="276">
        <f>IF(BN76&gt;0,ROUND(BN76,0),0)</f>
        <v>14168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148*2017*8620*A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148*2017*8630*A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148*2017*8640*A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148*2017*8650*A</v>
      </c>
      <c r="B801" s="276"/>
      <c r="C801" s="278">
        <f>ROUND(BR60,2)</f>
        <v>0.4</v>
      </c>
      <c r="D801" s="276">
        <f>ROUND(BR61,0)</f>
        <v>21139</v>
      </c>
      <c r="E801" s="276">
        <f>ROUND(BR62,0)</f>
        <v>3811</v>
      </c>
      <c r="F801" s="276">
        <f>ROUND(BR63,0)</f>
        <v>0</v>
      </c>
      <c r="G801" s="276">
        <f>ROUND(BR64,0)</f>
        <v>642</v>
      </c>
      <c r="H801" s="276">
        <f>ROUND(BR65,0)</f>
        <v>0</v>
      </c>
      <c r="I801" s="276">
        <f>ROUND(BR66,0)</f>
        <v>0</v>
      </c>
      <c r="J801" s="276">
        <f>ROUND(BR67,0)</f>
        <v>13259</v>
      </c>
      <c r="K801" s="276">
        <f>ROUND(BR68,0)</f>
        <v>0</v>
      </c>
      <c r="L801" s="276">
        <f>ROUND(BR69,0)</f>
        <v>406</v>
      </c>
      <c r="M801" s="276">
        <f>ROUND(BR70,0)</f>
        <v>0</v>
      </c>
      <c r="N801" s="276"/>
      <c r="O801" s="276"/>
      <c r="P801" s="276">
        <f>IF(BR76&gt;0,ROUND(BR76,0),0)</f>
        <v>394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148*2017*8660*A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148*2017*8670*A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148*2017*8680*A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148*2017*8690*A</v>
      </c>
      <c r="B805" s="276"/>
      <c r="C805" s="278">
        <f>ROUND(BV60,2)</f>
        <v>2</v>
      </c>
      <c r="D805" s="276">
        <f>ROUND(BV61,0)</f>
        <v>119277</v>
      </c>
      <c r="E805" s="276">
        <f>ROUND(BV62,0)</f>
        <v>25233</v>
      </c>
      <c r="F805" s="276">
        <f>ROUND(BV63,0)</f>
        <v>0</v>
      </c>
      <c r="G805" s="276">
        <f>ROUND(BV64,0)</f>
        <v>2291</v>
      </c>
      <c r="H805" s="276">
        <f>ROUND(BV65,0)</f>
        <v>0</v>
      </c>
      <c r="I805" s="276">
        <f>ROUND(BV66,0)</f>
        <v>15883</v>
      </c>
      <c r="J805" s="276">
        <f>ROUND(BV67,0)</f>
        <v>32240</v>
      </c>
      <c r="K805" s="276">
        <f>ROUND(BV68,0)</f>
        <v>0</v>
      </c>
      <c r="L805" s="276">
        <f>ROUND(BV69,0)</f>
        <v>28</v>
      </c>
      <c r="M805" s="276">
        <f>ROUND(BV70,0)</f>
        <v>0</v>
      </c>
      <c r="N805" s="276"/>
      <c r="O805" s="276"/>
      <c r="P805" s="276">
        <f>IF(BV76&gt;0,ROUND(BV76,0),0)</f>
        <v>958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148*2017*8700*A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78347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4577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136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148*2017*8710*A</v>
      </c>
      <c r="B807" s="276"/>
      <c r="C807" s="278">
        <f>ROUND(BX60,2)</f>
        <v>7.8</v>
      </c>
      <c r="D807" s="276">
        <f>ROUND(BX61,0)</f>
        <v>654758</v>
      </c>
      <c r="E807" s="276">
        <f>ROUND(BX62,0)</f>
        <v>69142</v>
      </c>
      <c r="F807" s="276">
        <f>ROUND(BX63,0)</f>
        <v>8672</v>
      </c>
      <c r="G807" s="276">
        <f>ROUND(BX64,0)</f>
        <v>0</v>
      </c>
      <c r="H807" s="276">
        <f>ROUND(BX65,0)</f>
        <v>0</v>
      </c>
      <c r="I807" s="276">
        <f>ROUND(BX66,0)</f>
        <v>16609</v>
      </c>
      <c r="J807" s="276">
        <f>ROUND(BX67,0)</f>
        <v>9457</v>
      </c>
      <c r="K807" s="276">
        <f>ROUND(BX68,0)</f>
        <v>0</v>
      </c>
      <c r="L807" s="276">
        <f>ROUND(BX69,0)</f>
        <v>15566</v>
      </c>
      <c r="M807" s="276">
        <f>ROUND(BX70,0)</f>
        <v>0</v>
      </c>
      <c r="N807" s="276"/>
      <c r="O807" s="276"/>
      <c r="P807" s="276">
        <f>IF(BX76&gt;0,ROUND(BX76,0),0)</f>
        <v>281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148*2017*8720*A</v>
      </c>
      <c r="B808" s="276"/>
      <c r="C808" s="278">
        <f>ROUND(BY60,2)</f>
        <v>14.7</v>
      </c>
      <c r="D808" s="276">
        <f>ROUND(BY61,0)</f>
        <v>1505724</v>
      </c>
      <c r="E808" s="276">
        <f>ROUND(BY62,0)</f>
        <v>180961</v>
      </c>
      <c r="F808" s="276">
        <f>ROUND(BY63,0)</f>
        <v>0</v>
      </c>
      <c r="G808" s="276">
        <f>ROUND(BY64,0)</f>
        <v>15840</v>
      </c>
      <c r="H808" s="276">
        <f>ROUND(BY65,0)</f>
        <v>0</v>
      </c>
      <c r="I808" s="276">
        <f>ROUND(BY66,0)</f>
        <v>0</v>
      </c>
      <c r="J808" s="276">
        <f>ROUND(BY67,0)</f>
        <v>46408</v>
      </c>
      <c r="K808" s="276">
        <f>ROUND(BY68,0)</f>
        <v>0</v>
      </c>
      <c r="L808" s="276">
        <f>ROUND(BY69,0)</f>
        <v>7553</v>
      </c>
      <c r="M808" s="276">
        <f>ROUND(BY70,0)</f>
        <v>0</v>
      </c>
      <c r="N808" s="276"/>
      <c r="O808" s="276"/>
      <c r="P808" s="276">
        <f>IF(BY76&gt;0,ROUND(BY76,0),0)</f>
        <v>1379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148*2017*8730*A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148*2017*8740*A</v>
      </c>
      <c r="B810" s="276"/>
      <c r="C810" s="278">
        <f>ROUND(CA60,2)</f>
        <v>2.5</v>
      </c>
      <c r="D810" s="276">
        <f>ROUND(CA61,0)</f>
        <v>232889</v>
      </c>
      <c r="E810" s="276">
        <f>ROUND(CA62,0)</f>
        <v>21010</v>
      </c>
      <c r="F810" s="276">
        <f>ROUND(CA63,0)</f>
        <v>0</v>
      </c>
      <c r="G810" s="276">
        <f>ROUND(CA64,0)</f>
        <v>398</v>
      </c>
      <c r="H810" s="276">
        <f>ROUND(CA65,0)</f>
        <v>0</v>
      </c>
      <c r="I810" s="276">
        <f>ROUND(CA66,0)</f>
        <v>7706</v>
      </c>
      <c r="J810" s="276">
        <f>ROUND(CA67,0)</f>
        <v>25846</v>
      </c>
      <c r="K810" s="276">
        <f>ROUND(CA68,0)</f>
        <v>0</v>
      </c>
      <c r="L810" s="276">
        <f>ROUND(CA69,0)</f>
        <v>12284</v>
      </c>
      <c r="M810" s="276">
        <f>ROUND(CA70,0)</f>
        <v>0</v>
      </c>
      <c r="N810" s="276"/>
      <c r="O810" s="276"/>
      <c r="P810" s="276">
        <f>IF(CA76&gt;0,ROUND(CA76,0),0)</f>
        <v>768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148*2017*8770*A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148*2017*8790*A</v>
      </c>
      <c r="B812" s="276"/>
      <c r="C812" s="278">
        <f>ROUND(CC60,2)</f>
        <v>0.6</v>
      </c>
      <c r="D812" s="276">
        <f>ROUND(CC61,0)</f>
        <v>492989</v>
      </c>
      <c r="E812" s="276">
        <f>ROUND(CC62,0)</f>
        <v>33825</v>
      </c>
      <c r="F812" s="276">
        <f>ROUND(CC63,0)</f>
        <v>3432</v>
      </c>
      <c r="G812" s="276">
        <f>ROUND(CC64,0)</f>
        <v>6760</v>
      </c>
      <c r="H812" s="276">
        <f>ROUND(CC65,0)</f>
        <v>74493</v>
      </c>
      <c r="I812" s="276">
        <f>ROUND(CC66,0)</f>
        <v>8170</v>
      </c>
      <c r="J812" s="276">
        <f>ROUND(CC67,0)</f>
        <v>27023</v>
      </c>
      <c r="K812" s="276">
        <f>ROUND(CC68,0)</f>
        <v>-75941</v>
      </c>
      <c r="L812" s="276">
        <f>ROUND(CC69,0)</f>
        <v>213332</v>
      </c>
      <c r="M812" s="276">
        <f>ROUND(CC70,0)</f>
        <v>0</v>
      </c>
      <c r="N812" s="276"/>
      <c r="O812" s="276"/>
      <c r="P812" s="276">
        <f>IF(CC76&gt;0,ROUND(CC76,0),0)</f>
        <v>803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148*2017*9000*A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1321185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242.3</v>
      </c>
      <c r="D815" s="277">
        <f t="shared" si="22"/>
        <v>17516224</v>
      </c>
      <c r="E815" s="277">
        <f t="shared" si="22"/>
        <v>3166653</v>
      </c>
      <c r="F815" s="277">
        <f t="shared" si="22"/>
        <v>1030163</v>
      </c>
      <c r="G815" s="277">
        <f t="shared" si="22"/>
        <v>3698591</v>
      </c>
      <c r="H815" s="277">
        <f t="shared" si="22"/>
        <v>607655</v>
      </c>
      <c r="I815" s="277">
        <f t="shared" si="22"/>
        <v>6633727</v>
      </c>
      <c r="J815" s="277">
        <f t="shared" si="22"/>
        <v>2715638</v>
      </c>
      <c r="K815" s="277">
        <f t="shared" si="22"/>
        <v>504622</v>
      </c>
      <c r="L815" s="277">
        <f>SUM(L734:L813)+SUM(U734:U813)</f>
        <v>4895890</v>
      </c>
      <c r="M815" s="277">
        <f>SUM(M734:M813)+SUM(V734:V813)</f>
        <v>81637</v>
      </c>
      <c r="N815" s="277">
        <f t="shared" ref="N815:Y815" si="23">SUM(N734:N813)</f>
        <v>124123496</v>
      </c>
      <c r="O815" s="277">
        <f t="shared" si="23"/>
        <v>124123496</v>
      </c>
      <c r="P815" s="277">
        <f t="shared" si="23"/>
        <v>80695</v>
      </c>
      <c r="Q815" s="277">
        <f t="shared" si="23"/>
        <v>48373</v>
      </c>
      <c r="R815" s="277">
        <f t="shared" si="23"/>
        <v>20692</v>
      </c>
      <c r="S815" s="277">
        <f t="shared" si="23"/>
        <v>267483</v>
      </c>
      <c r="T815" s="281">
        <f t="shared" si="23"/>
        <v>120.39999999999999</v>
      </c>
      <c r="U815" s="277">
        <f t="shared" si="23"/>
        <v>1321185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18132745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242.3</v>
      </c>
      <c r="D816" s="277">
        <f>CE61</f>
        <v>17516222.579999998</v>
      </c>
      <c r="E816" s="277">
        <f>CE62</f>
        <v>3166653</v>
      </c>
      <c r="F816" s="277">
        <f>CE63</f>
        <v>1030164.3300000001</v>
      </c>
      <c r="G816" s="277">
        <f>CE64</f>
        <v>3698592.7800000003</v>
      </c>
      <c r="H816" s="280">
        <f>CE65</f>
        <v>607654.24</v>
      </c>
      <c r="I816" s="280">
        <f>CE66</f>
        <v>6633729.5499999998</v>
      </c>
      <c r="J816" s="280">
        <f>CE67</f>
        <v>2715638</v>
      </c>
      <c r="K816" s="280">
        <f>CE68</f>
        <v>504621.3600000001</v>
      </c>
      <c r="L816" s="280">
        <f>CE69</f>
        <v>4895888.709999999</v>
      </c>
      <c r="M816" s="280">
        <f>CE70</f>
        <v>81637</v>
      </c>
      <c r="N816" s="277">
        <f>CE75</f>
        <v>124123496.31999999</v>
      </c>
      <c r="O816" s="277">
        <f>CE73</f>
        <v>124123496.31999999</v>
      </c>
      <c r="P816" s="277">
        <f>CE76</f>
        <v>80695</v>
      </c>
      <c r="Q816" s="277">
        <f>CE77</f>
        <v>48373</v>
      </c>
      <c r="R816" s="277">
        <f>CE78</f>
        <v>20692</v>
      </c>
      <c r="S816" s="277">
        <f>CE79</f>
        <v>267483</v>
      </c>
      <c r="T816" s="281">
        <f>CE80</f>
        <v>120.39999999999999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18132747.289999999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17516223</v>
      </c>
      <c r="E817" s="180">
        <f>C379</f>
        <v>3166654</v>
      </c>
      <c r="F817" s="180">
        <f>C380</f>
        <v>1030164</v>
      </c>
      <c r="G817" s="240">
        <f>C381</f>
        <v>3698593</v>
      </c>
      <c r="H817" s="240">
        <f>C382</f>
        <v>607654</v>
      </c>
      <c r="I817" s="240">
        <f>C383</f>
        <v>6633730</v>
      </c>
      <c r="J817" s="240">
        <f>C384</f>
        <v>2715637</v>
      </c>
      <c r="K817" s="240">
        <f>C385</f>
        <v>504621</v>
      </c>
      <c r="L817" s="240">
        <f>C386+C387+C388+C389</f>
        <v>4895889</v>
      </c>
      <c r="M817" s="240">
        <f>C370</f>
        <v>81637</v>
      </c>
      <c r="N817" s="180">
        <f>D361</f>
        <v>124123496.31999999</v>
      </c>
      <c r="O817" s="180">
        <f>C359</f>
        <v>124123496.31999999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Kindred Hospital Seattle Northgate/First Hill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H-148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10631 8th Avenue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10631 8th Avenue NE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 WA 98125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H-148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Kindred Hospital Seattle Northgate/First Hill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Doug McCoy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Keenan Underwood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Linn Billingsley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206-364-2050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206-361-5722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463</v>
      </c>
      <c r="G23" s="21">
        <f>data!D111</f>
        <v>19822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70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80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80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Kindred Hospital Seattle Northgate/First Hill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221</v>
      </c>
      <c r="C7" s="48">
        <f>data!B139</f>
        <v>7921</v>
      </c>
      <c r="D7" s="48">
        <f>data!B140</f>
        <v>0</v>
      </c>
      <c r="E7" s="48">
        <f>data!B141</f>
        <v>60055883</v>
      </c>
      <c r="F7" s="48">
        <f>data!B142</f>
        <v>0</v>
      </c>
      <c r="G7" s="48">
        <f>data!B141+data!B142</f>
        <v>60055883</v>
      </c>
    </row>
    <row r="8" spans="1:13" ht="20.100000000000001" customHeight="1" x14ac:dyDescent="0.25">
      <c r="A8" s="23" t="s">
        <v>297</v>
      </c>
      <c r="B8" s="48">
        <f>data!C138</f>
        <v>9</v>
      </c>
      <c r="C8" s="48">
        <f>data!C139</f>
        <v>532</v>
      </c>
      <c r="D8" s="48">
        <f>data!C140</f>
        <v>0</v>
      </c>
      <c r="E8" s="48">
        <f>data!C141</f>
        <v>3328092</v>
      </c>
      <c r="F8" s="48">
        <f>data!C142</f>
        <v>0</v>
      </c>
      <c r="G8" s="48">
        <f>data!C141+data!C142</f>
        <v>3328092</v>
      </c>
    </row>
    <row r="9" spans="1:13" ht="20.100000000000001" customHeight="1" x14ac:dyDescent="0.25">
      <c r="A9" s="23" t="s">
        <v>1058</v>
      </c>
      <c r="B9" s="48">
        <f>data!D138</f>
        <v>233</v>
      </c>
      <c r="C9" s="48">
        <f>data!D139</f>
        <v>11369</v>
      </c>
      <c r="D9" s="48">
        <f>data!D140</f>
        <v>0</v>
      </c>
      <c r="E9" s="48">
        <f>data!D141</f>
        <v>71681123</v>
      </c>
      <c r="F9" s="48">
        <f>data!D142</f>
        <v>0</v>
      </c>
      <c r="G9" s="48">
        <f>data!D141+data!D142</f>
        <v>71681123</v>
      </c>
    </row>
    <row r="10" spans="1:13" ht="20.100000000000001" customHeight="1" x14ac:dyDescent="0.25">
      <c r="A10" s="111" t="s">
        <v>203</v>
      </c>
      <c r="B10" s="48">
        <f>data!E138</f>
        <v>463</v>
      </c>
      <c r="C10" s="48">
        <f>data!E139</f>
        <v>19822</v>
      </c>
      <c r="D10" s="48">
        <f>data!E140</f>
        <v>0</v>
      </c>
      <c r="E10" s="48">
        <f>data!E141</f>
        <v>135065098</v>
      </c>
      <c r="F10" s="48">
        <f>data!E142</f>
        <v>0</v>
      </c>
      <c r="G10" s="48">
        <f>data!E141+data!E142</f>
        <v>135065098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H36" sqref="H36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Kindred Hospital Seattle Northgate/First Hill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1217319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75537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330579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746304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67712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16118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155766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2609335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392088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392088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120920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85585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206505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23250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1083127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1106377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4453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4453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Kindred Hospital Seattle Northgate/First Hill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3225342.16</v>
      </c>
      <c r="D7" s="21">
        <f>data!C195</f>
        <v>3225879.87</v>
      </c>
      <c r="E7" s="21">
        <f>data!D195</f>
        <v>0</v>
      </c>
      <c r="F7" s="21">
        <f>data!E195</f>
        <v>6451222.0300000003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41895357.659999996</v>
      </c>
      <c r="D9" s="21">
        <f>data!C197</f>
        <v>0</v>
      </c>
      <c r="E9" s="21">
        <f>data!D197</f>
        <v>33996608.899999999</v>
      </c>
      <c r="F9" s="21">
        <f>data!E197</f>
        <v>7898748.7599999979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5127869.07</v>
      </c>
      <c r="D12" s="21">
        <f>data!C200</f>
        <v>0</v>
      </c>
      <c r="E12" s="21">
        <f>data!D200</f>
        <v>4211509.58</v>
      </c>
      <c r="F12" s="21">
        <f>data!E200</f>
        <v>916359.49000000022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1489580.0099999998</v>
      </c>
      <c r="D13" s="21">
        <f>data!C201</f>
        <v>0</v>
      </c>
      <c r="E13" s="21">
        <f>data!D201</f>
        <v>1398392.03</v>
      </c>
      <c r="F13" s="21">
        <f>data!E201</f>
        <v>91187.979999999749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354226.99</v>
      </c>
      <c r="D14" s="21">
        <f>data!C202</f>
        <v>0</v>
      </c>
      <c r="E14" s="21">
        <f>data!D202</f>
        <v>339234.02</v>
      </c>
      <c r="F14" s="21">
        <f>data!E202</f>
        <v>14992.969999999972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52092375.889999993</v>
      </c>
      <c r="D16" s="21">
        <f>data!C204</f>
        <v>3225879.87</v>
      </c>
      <c r="E16" s="21">
        <f>data!D204</f>
        <v>39945744.530000001</v>
      </c>
      <c r="F16" s="21">
        <f>data!E204</f>
        <v>15372511.23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144500.68</v>
      </c>
      <c r="D24" s="21">
        <f>data!C209</f>
        <v>0</v>
      </c>
      <c r="E24" s="21">
        <f>data!D209</f>
        <v>141642.5</v>
      </c>
      <c r="F24" s="21">
        <f>data!E209</f>
        <v>2858.179999999993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17389655.960000001</v>
      </c>
      <c r="D25" s="21">
        <f>data!C210</f>
        <v>0</v>
      </c>
      <c r="E25" s="21">
        <f>data!D210</f>
        <v>17238311.77</v>
      </c>
      <c r="F25" s="21">
        <f>data!E210</f>
        <v>151344.19000000134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3706698.95</v>
      </c>
      <c r="D28" s="21">
        <f>data!C213</f>
        <v>0</v>
      </c>
      <c r="E28" s="21">
        <f>data!D213</f>
        <v>3605714.61</v>
      </c>
      <c r="F28" s="21">
        <f>data!E213</f>
        <v>100984.34000000032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1211522.1000000001</v>
      </c>
      <c r="D29" s="21">
        <f>data!C214</f>
        <v>0</v>
      </c>
      <c r="E29" s="21">
        <f>data!D214</f>
        <v>1198976.78</v>
      </c>
      <c r="F29" s="21">
        <f>data!E214</f>
        <v>12545.320000000065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56203.38</v>
      </c>
      <c r="D30" s="21">
        <f>data!C215</f>
        <v>0</v>
      </c>
      <c r="E30" s="21">
        <f>data!D215</f>
        <v>52637.440000000002</v>
      </c>
      <c r="F30" s="21">
        <f>data!E215</f>
        <v>3565.9399999999951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22508581.07</v>
      </c>
      <c r="D32" s="21">
        <f>data!C217</f>
        <v>0</v>
      </c>
      <c r="E32" s="21">
        <f>data!D217</f>
        <v>22237283.100000001</v>
      </c>
      <c r="F32" s="21">
        <f>data!E217</f>
        <v>271297.97000000172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Kindred Hospital Seattle Northgate/First Hill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3182256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44908612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2498772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46639512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94046896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97229152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40" sqref="C40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Kindred Hospital Seattle Northgate/First Hill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-69626.429999999993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16121648.73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5434985.2199999997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5851.26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387805.43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10800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11021493.770000001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6451222.0300000003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7898748.7599999998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1007547.47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14992.97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15372511.23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271297.96999999997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15101213.26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-3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-3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26122704.030000001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Kindred Hospital Seattle Northgate/First Hill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1440120.52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1055444.3400000001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1866978.13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4362542.99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22524091.010000002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22524091.010000002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22524091.010000002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-763929.97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-763929.97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26122704.030000001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Kindred Hospital Seattle Northgate/First Hill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135065098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135065098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3182256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94046896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97229152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37835946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78014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78014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37913960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18411120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2609335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713029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2041752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612295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6531300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2710471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392088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206505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1106377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4453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4007452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39346177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-1432217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-1432217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-1432217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G81" sqref="G81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Kindred Hospital Seattle Northgate/First Hill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1037</v>
      </c>
      <c r="D9" s="14">
        <f>data!D59</f>
        <v>18785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10.3772702991453</v>
      </c>
      <c r="D10" s="26">
        <f>data!D60</f>
        <v>96.950854700854705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660138.83000000007</v>
      </c>
      <c r="D11" s="14">
        <f>data!D61</f>
        <v>7493341.1200000001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75509</v>
      </c>
      <c r="D12" s="14">
        <f>data!D62</f>
        <v>792563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553880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3601</v>
      </c>
      <c r="D14" s="14">
        <f>data!D64</f>
        <v>1008399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560544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121828</v>
      </c>
      <c r="D17" s="14">
        <f>data!D67</f>
        <v>573198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207955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220</v>
      </c>
      <c r="D19" s="14">
        <f>data!D69</f>
        <v>24904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861296.83000000007</v>
      </c>
      <c r="D21" s="14">
        <f>data!D71</f>
        <v>11214784.120000001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995830</v>
      </c>
      <c r="D23" s="48">
        <f>+data!M669</f>
        <v>11984053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5899846</v>
      </c>
      <c r="D24" s="14">
        <f>data!D73</f>
        <v>70913287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5899846</v>
      </c>
      <c r="D26" s="14">
        <f>data!D75</f>
        <v>70913287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3627</v>
      </c>
      <c r="D28" s="14">
        <f>data!D76</f>
        <v>17065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42524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1373.14</v>
      </c>
      <c r="D30" s="14">
        <f>data!D78</f>
        <v>24874.16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47992.85</v>
      </c>
      <c r="D31" s="14">
        <f>data!D79</f>
        <v>128619.92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10.38</v>
      </c>
      <c r="D32" s="84">
        <f>data!D80</f>
        <v>96.950854700854705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Kindred Hospital Seattle Northgate/First Hill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Kindred Hospital Seattle Northgate/First Hill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118083</v>
      </c>
      <c r="H73" s="14">
        <f>data!V59</f>
        <v>525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5.34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355801.67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46660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32375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113982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56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495795</v>
      </c>
      <c r="H80" s="14">
        <f>data!V66</f>
        <v>10849</v>
      </c>
      <c r="I80" s="14">
        <f>data!W66</f>
        <v>12159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48536</v>
      </c>
      <c r="F81" s="14">
        <f>data!T67</f>
        <v>0</v>
      </c>
      <c r="G81" s="14">
        <f>data!U67</f>
        <v>16660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72549</v>
      </c>
      <c r="H83" s="14">
        <f>data!V69</f>
        <v>0</v>
      </c>
      <c r="I83" s="14">
        <f>data!W69</f>
        <v>1988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48536</v>
      </c>
      <c r="F85" s="14">
        <f>data!T71</f>
        <v>0</v>
      </c>
      <c r="G85" s="14">
        <f>data!U71</f>
        <v>1133878.67</v>
      </c>
      <c r="H85" s="14">
        <f>data!V71</f>
        <v>10849</v>
      </c>
      <c r="I85" s="14">
        <f>data!W71</f>
        <v>14147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87232</v>
      </c>
      <c r="F87" s="48">
        <f>+data!M685</f>
        <v>0</v>
      </c>
      <c r="G87" s="48">
        <f>+data!M686</f>
        <v>660735</v>
      </c>
      <c r="H87" s="48">
        <f>+data!M687</f>
        <v>6716</v>
      </c>
      <c r="I87" s="48">
        <f>+data!M688</f>
        <v>5429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10247839</v>
      </c>
      <c r="H88" s="14">
        <f>data!V73</f>
        <v>133373</v>
      </c>
      <c r="I88" s="14">
        <f>data!W73</f>
        <v>63223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10247839</v>
      </c>
      <c r="H90" s="14">
        <f>data!V75</f>
        <v>133373</v>
      </c>
      <c r="I90" s="14">
        <f>data!W75</f>
        <v>63223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1445</v>
      </c>
      <c r="F92" s="14">
        <f>data!T76</f>
        <v>0</v>
      </c>
      <c r="G92" s="14">
        <f>data!U76</f>
        <v>496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1919.83</v>
      </c>
      <c r="F95" s="14">
        <f>data!T79</f>
        <v>0</v>
      </c>
      <c r="G95" s="14">
        <f>data!U79</f>
        <v>1919.83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Kindred Hospital Seattle Northgate/First Hill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3362</v>
      </c>
      <c r="E105" s="14">
        <f>data!Z59</f>
        <v>0</v>
      </c>
      <c r="F105" s="14">
        <f>data!AA59</f>
        <v>0</v>
      </c>
      <c r="G105" s="212"/>
      <c r="H105" s="14">
        <f>data!AC59</f>
        <v>58351</v>
      </c>
      <c r="I105" s="14">
        <f>data!AD59</f>
        <v>2373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2.17</v>
      </c>
      <c r="E106" s="26">
        <f>data!Z60</f>
        <v>0</v>
      </c>
      <c r="F106" s="26">
        <f>data!AA60</f>
        <v>0</v>
      </c>
      <c r="G106" s="26">
        <f>data!AB60</f>
        <v>9.8000000000000007</v>
      </c>
      <c r="H106" s="26">
        <f>data!AC60</f>
        <v>20.09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220217.5</v>
      </c>
      <c r="E107" s="14">
        <f>data!Z61</f>
        <v>0</v>
      </c>
      <c r="F107" s="14">
        <f>data!AA61</f>
        <v>0</v>
      </c>
      <c r="G107" s="14">
        <f>data!AB61</f>
        <v>1109881.55</v>
      </c>
      <c r="H107" s="14">
        <f>data!AC61</f>
        <v>1355945.78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25255</v>
      </c>
      <c r="E108" s="14">
        <f>data!Z62</f>
        <v>0</v>
      </c>
      <c r="F108" s="14">
        <f>data!AA62</f>
        <v>0</v>
      </c>
      <c r="G108" s="14">
        <f>data!AB62</f>
        <v>118345</v>
      </c>
      <c r="H108" s="14">
        <f>data!AC62</f>
        <v>172021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50106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2587</v>
      </c>
      <c r="E110" s="14">
        <f>data!Z64</f>
        <v>0</v>
      </c>
      <c r="F110" s="14">
        <f>data!AA64</f>
        <v>0</v>
      </c>
      <c r="G110" s="14">
        <f>data!AB64</f>
        <v>33992</v>
      </c>
      <c r="H110" s="14">
        <f>data!AC64</f>
        <v>178064</v>
      </c>
      <c r="I110" s="14">
        <f>data!AD64</f>
        <v>549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35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338639</v>
      </c>
      <c r="D112" s="14">
        <f>data!Y66</f>
        <v>86230</v>
      </c>
      <c r="E112" s="14">
        <f>data!Z66</f>
        <v>0</v>
      </c>
      <c r="F112" s="14">
        <f>data!AA66</f>
        <v>0</v>
      </c>
      <c r="G112" s="14">
        <f>data!AB66</f>
        <v>1718370</v>
      </c>
      <c r="H112" s="14">
        <f>data!AC66</f>
        <v>124</v>
      </c>
      <c r="I112" s="14">
        <f>data!AD66</f>
        <v>1183535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14611</v>
      </c>
      <c r="E113" s="14">
        <f>data!Z67</f>
        <v>0</v>
      </c>
      <c r="F113" s="14">
        <f>data!AA67</f>
        <v>0</v>
      </c>
      <c r="G113" s="14">
        <f>data!AB67</f>
        <v>50988</v>
      </c>
      <c r="H113" s="14">
        <f>data!AC67</f>
        <v>28819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82073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1027</v>
      </c>
      <c r="E115" s="14">
        <f>data!Z69</f>
        <v>0</v>
      </c>
      <c r="F115" s="14">
        <f>data!AA69</f>
        <v>0</v>
      </c>
      <c r="G115" s="14">
        <f>data!AB69</f>
        <v>17978</v>
      </c>
      <c r="H115" s="14">
        <f>data!AC69</f>
        <v>3297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338639</v>
      </c>
      <c r="D117" s="14">
        <f>data!Y71</f>
        <v>400033.5</v>
      </c>
      <c r="E117" s="14">
        <f>data!Z71</f>
        <v>0</v>
      </c>
      <c r="F117" s="14">
        <f>data!AA71</f>
        <v>0</v>
      </c>
      <c r="G117" s="14">
        <f>data!AB71</f>
        <v>3049554.55</v>
      </c>
      <c r="H117" s="14">
        <f>data!AC71</f>
        <v>1820378.78</v>
      </c>
      <c r="I117" s="14">
        <f>data!AD71</f>
        <v>1184084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128701</v>
      </c>
      <c r="D119" s="48">
        <f>+data!M690</f>
        <v>148106</v>
      </c>
      <c r="E119" s="48">
        <f>+data!M691</f>
        <v>0</v>
      </c>
      <c r="F119" s="48">
        <f>+data!M692</f>
        <v>0</v>
      </c>
      <c r="G119" s="48">
        <f>+data!M693</f>
        <v>1460616</v>
      </c>
      <c r="H119" s="48">
        <f>+data!M694</f>
        <v>1109518</v>
      </c>
      <c r="I119" s="48">
        <f>+data!M695</f>
        <v>408131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1471322</v>
      </c>
      <c r="D120" s="14">
        <f>data!Y73</f>
        <v>749978</v>
      </c>
      <c r="E120" s="14">
        <f>data!Z73</f>
        <v>0</v>
      </c>
      <c r="F120" s="14">
        <f>data!AA73</f>
        <v>0</v>
      </c>
      <c r="G120" s="14">
        <f>data!AB73</f>
        <v>20272198</v>
      </c>
      <c r="H120" s="14">
        <f>data!AC73</f>
        <v>17662489</v>
      </c>
      <c r="I120" s="14">
        <f>data!AD73</f>
        <v>3745209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1471322</v>
      </c>
      <c r="D122" s="14">
        <f>data!Y75</f>
        <v>749978</v>
      </c>
      <c r="E122" s="14">
        <f>data!Z75</f>
        <v>0</v>
      </c>
      <c r="F122" s="14">
        <f>data!AA75</f>
        <v>0</v>
      </c>
      <c r="G122" s="14">
        <f>data!AB75</f>
        <v>20272198</v>
      </c>
      <c r="H122" s="14">
        <f>data!AC75</f>
        <v>17662489</v>
      </c>
      <c r="I122" s="14">
        <f>data!AD75</f>
        <v>3745209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435</v>
      </c>
      <c r="E124" s="14">
        <f>data!Z76</f>
        <v>0</v>
      </c>
      <c r="F124" s="14">
        <f>data!AA76</f>
        <v>0</v>
      </c>
      <c r="G124" s="14">
        <f>data!AB76</f>
        <v>1518</v>
      </c>
      <c r="H124" s="14">
        <f>data!AC76</f>
        <v>858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1919.83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9598.43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Kindred Hospital Seattle Northgate/First Hill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13944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8818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37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10874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664384</v>
      </c>
      <c r="D144" s="14">
        <f>data!AF66</f>
        <v>0</v>
      </c>
      <c r="E144" s="14">
        <f>data!AG66</f>
        <v>0</v>
      </c>
      <c r="F144" s="14">
        <f>data!AH66</f>
        <v>2232</v>
      </c>
      <c r="G144" s="14">
        <f>data!AI66</f>
        <v>0</v>
      </c>
      <c r="H144" s="14">
        <f>data!AJ66</f>
        <v>0</v>
      </c>
      <c r="I144" s="14">
        <f>data!AK66</f>
        <v>450569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145239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4282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756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825572</v>
      </c>
      <c r="D149" s="14">
        <f>data!AF71</f>
        <v>0</v>
      </c>
      <c r="E149" s="14">
        <f>data!AG71</f>
        <v>0</v>
      </c>
      <c r="F149" s="14">
        <f>data!AH71</f>
        <v>2232</v>
      </c>
      <c r="G149" s="14">
        <f>data!AI71</f>
        <v>0</v>
      </c>
      <c r="H149" s="14">
        <f>data!AJ71</f>
        <v>0</v>
      </c>
      <c r="I149" s="14">
        <f>data!AK71</f>
        <v>450569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484784</v>
      </c>
      <c r="D151" s="48">
        <f>+data!M697</f>
        <v>0</v>
      </c>
      <c r="E151" s="48">
        <f>+data!M698</f>
        <v>0</v>
      </c>
      <c r="F151" s="48">
        <f>+data!M699</f>
        <v>557</v>
      </c>
      <c r="G151" s="48">
        <f>+data!M700</f>
        <v>0</v>
      </c>
      <c r="H151" s="48">
        <f>+data!M701</f>
        <v>0</v>
      </c>
      <c r="I151" s="48">
        <f>+data!M702</f>
        <v>151000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1924440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1284565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1924440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1284565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4324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Kindred Hospital Seattle Northgate/First Hill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4649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209082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209082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73114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697328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697328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Kindred Hospital Seattle Northgate/First Hill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42524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13.43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596701.80999999994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89793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285520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148128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476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1804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1122422.81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4410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Kindred Hospital Seattle Northgate/First Hill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80695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3.98</v>
      </c>
      <c r="H234" s="26">
        <f>data!BE60</f>
        <v>0</v>
      </c>
      <c r="I234" s="26">
        <f>data!BF60</f>
        <v>12.62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189851.03</v>
      </c>
      <c r="H235" s="14">
        <f>data!BE61</f>
        <v>0</v>
      </c>
      <c r="I235" s="14">
        <f>data!BF61</f>
        <v>498237.54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26216</v>
      </c>
      <c r="H236" s="14">
        <f>data!BE62</f>
        <v>0</v>
      </c>
      <c r="I236" s="14">
        <f>data!BF62</f>
        <v>74652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91610</v>
      </c>
      <c r="H238" s="14">
        <f>data!BE64</f>
        <v>47668</v>
      </c>
      <c r="I238" s="14">
        <f>data!BF64</f>
        <v>176883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484867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48</v>
      </c>
      <c r="E240" s="14">
        <f>data!BB66</f>
        <v>0</v>
      </c>
      <c r="F240" s="14">
        <f>data!BC66</f>
        <v>0</v>
      </c>
      <c r="G240" s="14">
        <f>data!BD66</f>
        <v>4104</v>
      </c>
      <c r="H240" s="14">
        <f>data!BE66</f>
        <v>738332</v>
      </c>
      <c r="I240" s="14">
        <f>data!BF66</f>
        <v>7904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20724</v>
      </c>
      <c r="E241" s="14">
        <f>data!BB67</f>
        <v>0</v>
      </c>
      <c r="F241" s="14">
        <f>data!BC67</f>
        <v>0</v>
      </c>
      <c r="G241" s="14">
        <f>data!BD67</f>
        <v>59486</v>
      </c>
      <c r="H241" s="14">
        <f>data!BE67</f>
        <v>265488</v>
      </c>
      <c r="I241" s="14">
        <f>data!BF67</f>
        <v>113430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85136</v>
      </c>
      <c r="H242" s="14">
        <f>data!BE68</f>
        <v>2571</v>
      </c>
      <c r="I242" s="14">
        <f>data!BF68</f>
        <v>3755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161124</v>
      </c>
      <c r="E243" s="14">
        <f>data!BB69</f>
        <v>0</v>
      </c>
      <c r="F243" s="14">
        <f>data!BC69</f>
        <v>0</v>
      </c>
      <c r="G243" s="14">
        <f>data!BD69</f>
        <v>6774</v>
      </c>
      <c r="H243" s="14">
        <f>data!BE69</f>
        <v>146695</v>
      </c>
      <c r="I243" s="14">
        <f>data!BF69</f>
        <v>1747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181896</v>
      </c>
      <c r="E245" s="14">
        <f>data!BB71</f>
        <v>0</v>
      </c>
      <c r="F245" s="14">
        <f>data!BC71</f>
        <v>0</v>
      </c>
      <c r="G245" s="14">
        <f>data!BD71</f>
        <v>463177.03</v>
      </c>
      <c r="H245" s="14">
        <f>data!BE71</f>
        <v>1685621</v>
      </c>
      <c r="I245" s="14">
        <f>data!BF71</f>
        <v>876608.54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617</v>
      </c>
      <c r="E252" s="85">
        <f>data!BB76</f>
        <v>0</v>
      </c>
      <c r="F252" s="85">
        <f>data!BC76</f>
        <v>0</v>
      </c>
      <c r="G252" s="85">
        <f>data!BD76</f>
        <v>1771</v>
      </c>
      <c r="H252" s="85">
        <f>data!BE76</f>
        <v>7904</v>
      </c>
      <c r="I252" s="85">
        <f>data!BF76</f>
        <v>3377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Kindred Hospital Seattle Northgate/First Hill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4.5</v>
      </c>
      <c r="F266" s="26">
        <f>data!BJ60</f>
        <v>3.15</v>
      </c>
      <c r="G266" s="26">
        <f>data!BK60</f>
        <v>0</v>
      </c>
      <c r="H266" s="26">
        <f>data!BL60</f>
        <v>6.95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185659.32</v>
      </c>
      <c r="F267" s="14">
        <f>data!BJ61</f>
        <v>231056.40000000002</v>
      </c>
      <c r="G267" s="14">
        <f>data!BK61</f>
        <v>0</v>
      </c>
      <c r="H267" s="14">
        <f>data!BL61</f>
        <v>973245.51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21683</v>
      </c>
      <c r="F268" s="14">
        <f>data!BJ62</f>
        <v>31423</v>
      </c>
      <c r="G268" s="14">
        <f>data!BK62</f>
        <v>0</v>
      </c>
      <c r="H268" s="14">
        <f>data!BL62</f>
        <v>120371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1200</v>
      </c>
      <c r="F270" s="14">
        <f>data!BJ64</f>
        <v>196</v>
      </c>
      <c r="G270" s="14">
        <f>data!BK64</f>
        <v>0</v>
      </c>
      <c r="H270" s="14">
        <f>data!BL64</f>
        <v>3737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92</v>
      </c>
      <c r="G271" s="14">
        <f>data!BK65</f>
        <v>0</v>
      </c>
      <c r="H271" s="14">
        <f>data!BL65</f>
        <v>3230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14914</v>
      </c>
      <c r="G273" s="14">
        <f>data!BK67</f>
        <v>0</v>
      </c>
      <c r="H273" s="14">
        <f>data!BL67</f>
        <v>454024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337</v>
      </c>
      <c r="F275" s="14">
        <f>data!BJ69</f>
        <v>18515</v>
      </c>
      <c r="G275" s="14">
        <f>data!BK69</f>
        <v>0</v>
      </c>
      <c r="H275" s="14">
        <f>data!BL69</f>
        <v>60985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208879.32</v>
      </c>
      <c r="F277" s="14">
        <f>data!BJ71</f>
        <v>296196.40000000002</v>
      </c>
      <c r="G277" s="14">
        <f>data!BK71</f>
        <v>0</v>
      </c>
      <c r="H277" s="14">
        <f>data!BL71</f>
        <v>1615592.51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444</v>
      </c>
      <c r="G284" s="85">
        <f>data!BK76</f>
        <v>0</v>
      </c>
      <c r="H284" s="85">
        <f>data!BL76</f>
        <v>13517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Kindred Hospital Seattle Northgate/First Hill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8.1999999999999993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1518897.29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670786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261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62618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50168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1000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78672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475890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13234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5839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3205070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97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6067940.29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14592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14168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394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Kindred Hospital Seattle Northgate/First Hill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1.87</v>
      </c>
      <c r="E330" s="26">
        <f>data!BW60</f>
        <v>0</v>
      </c>
      <c r="F330" s="26">
        <f>data!BX60</f>
        <v>6.32</v>
      </c>
      <c r="G330" s="26">
        <f>data!BY60</f>
        <v>15.18</v>
      </c>
      <c r="H330" s="26">
        <f>data!BZ60</f>
        <v>0</v>
      </c>
      <c r="I330" s="26">
        <f>data!CA60</f>
        <v>2.31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121851.50000000001</v>
      </c>
      <c r="E331" s="86">
        <f>data!BW61</f>
        <v>0</v>
      </c>
      <c r="F331" s="86">
        <f>data!BX61</f>
        <v>559541.19000000006</v>
      </c>
      <c r="G331" s="86">
        <f>data!BY61</f>
        <v>1670904.43</v>
      </c>
      <c r="H331" s="86">
        <f>data!BZ61</f>
        <v>0</v>
      </c>
      <c r="I331" s="86">
        <f>data!CA61</f>
        <v>242098.82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21781</v>
      </c>
      <c r="E332" s="86">
        <f>data!BW62</f>
        <v>0</v>
      </c>
      <c r="F332" s="86">
        <f>data!BX62</f>
        <v>58158</v>
      </c>
      <c r="G332" s="86">
        <f>data!BY62</f>
        <v>180754</v>
      </c>
      <c r="H332" s="86">
        <f>data!BZ62</f>
        <v>0</v>
      </c>
      <c r="I332" s="86">
        <f>data!CA62</f>
        <v>35120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888</v>
      </c>
      <c r="E334" s="86">
        <f>data!BW64</f>
        <v>0</v>
      </c>
      <c r="F334" s="86">
        <f>data!BX64</f>
        <v>0</v>
      </c>
      <c r="G334" s="86">
        <f>data!BY64</f>
        <v>22475</v>
      </c>
      <c r="H334" s="86">
        <f>data!BZ64</f>
        <v>0</v>
      </c>
      <c r="I334" s="86">
        <f>data!CA64</f>
        <v>1452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13030</v>
      </c>
      <c r="E336" s="86">
        <f>data!BW66</f>
        <v>0</v>
      </c>
      <c r="F336" s="86">
        <f>data!BX66</f>
        <v>449</v>
      </c>
      <c r="G336" s="86">
        <f>data!BY66</f>
        <v>152</v>
      </c>
      <c r="H336" s="86">
        <f>data!BZ66</f>
        <v>0</v>
      </c>
      <c r="I336" s="86">
        <f>data!CA66</f>
        <v>5119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32178</v>
      </c>
      <c r="E337" s="86">
        <f>data!BW67</f>
        <v>4568</v>
      </c>
      <c r="F337" s="86">
        <f>data!BX67</f>
        <v>9439</v>
      </c>
      <c r="G337" s="86">
        <f>data!BY67</f>
        <v>46319</v>
      </c>
      <c r="H337" s="86">
        <f>data!BZ67</f>
        <v>0</v>
      </c>
      <c r="I337" s="86">
        <f>data!CA67</f>
        <v>25796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14</v>
      </c>
      <c r="E339" s="86">
        <f>data!BW69</f>
        <v>0</v>
      </c>
      <c r="F339" s="86">
        <f>data!BX69</f>
        <v>1349</v>
      </c>
      <c r="G339" s="86">
        <f>data!BY69</f>
        <v>6324</v>
      </c>
      <c r="H339" s="86">
        <f>data!BZ69</f>
        <v>0</v>
      </c>
      <c r="I339" s="86">
        <f>data!CA69</f>
        <v>17606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189742.5</v>
      </c>
      <c r="E341" s="14">
        <f>data!BW71</f>
        <v>4568</v>
      </c>
      <c r="F341" s="14">
        <f>data!BX71</f>
        <v>628936.19000000006</v>
      </c>
      <c r="G341" s="14">
        <f>data!BY71</f>
        <v>1926928.43</v>
      </c>
      <c r="H341" s="14">
        <f>data!BZ71</f>
        <v>0</v>
      </c>
      <c r="I341" s="14">
        <f>data!CA71</f>
        <v>327191.82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958</v>
      </c>
      <c r="E348" s="85">
        <f>data!BW76</f>
        <v>136</v>
      </c>
      <c r="F348" s="85">
        <f>data!BX76</f>
        <v>281</v>
      </c>
      <c r="G348" s="85">
        <f>data!BY76</f>
        <v>1379</v>
      </c>
      <c r="H348" s="85">
        <f>data!BZ76</f>
        <v>0</v>
      </c>
      <c r="I348" s="85">
        <f>data!CA76</f>
        <v>768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Kindred Hospital Seattle Northgate/First Hill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1.01</v>
      </c>
      <c r="E362" s="217"/>
      <c r="F362" s="211"/>
      <c r="G362" s="211"/>
      <c r="H362" s="211"/>
      <c r="I362" s="87">
        <f>data!CE60</f>
        <v>224.24812499999999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427749.52</v>
      </c>
      <c r="E363" s="218"/>
      <c r="F363" s="219"/>
      <c r="G363" s="219"/>
      <c r="H363" s="219"/>
      <c r="I363" s="86">
        <f>data!CE61</f>
        <v>18411120.810000002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47945</v>
      </c>
      <c r="E364" s="218"/>
      <c r="F364" s="219"/>
      <c r="G364" s="219"/>
      <c r="H364" s="219"/>
      <c r="I364" s="86">
        <f>data!CE62</f>
        <v>2609333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14050</v>
      </c>
      <c r="E365" s="218"/>
      <c r="F365" s="219"/>
      <c r="G365" s="219"/>
      <c r="H365" s="219"/>
      <c r="I365" s="86">
        <f>data!CE63</f>
        <v>713029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6909</v>
      </c>
      <c r="E366" s="218"/>
      <c r="F366" s="219"/>
      <c r="G366" s="219"/>
      <c r="H366" s="219"/>
      <c r="I366" s="86">
        <f>data!CE64</f>
        <v>2041754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45342</v>
      </c>
      <c r="E367" s="218"/>
      <c r="F367" s="219"/>
      <c r="G367" s="219"/>
      <c r="H367" s="219"/>
      <c r="I367" s="86">
        <f>data!CE65</f>
        <v>612294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29650</v>
      </c>
      <c r="E368" s="218"/>
      <c r="F368" s="219"/>
      <c r="G368" s="219"/>
      <c r="H368" s="219"/>
      <c r="I368" s="86">
        <f>data!CE66</f>
        <v>6531300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26972</v>
      </c>
      <c r="E369" s="218"/>
      <c r="F369" s="219"/>
      <c r="G369" s="219"/>
      <c r="H369" s="219"/>
      <c r="I369" s="86">
        <f>data!CE67</f>
        <v>2710469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392087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256292</v>
      </c>
      <c r="E371" s="86">
        <f>data!CD69</f>
        <v>1317334</v>
      </c>
      <c r="F371" s="219"/>
      <c r="G371" s="219"/>
      <c r="H371" s="219"/>
      <c r="I371" s="86">
        <f>data!CE69</f>
        <v>5324786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78014</v>
      </c>
      <c r="F372" s="220"/>
      <c r="G372" s="220"/>
      <c r="H372" s="220"/>
      <c r="I372" s="14">
        <f>-data!CE70</f>
        <v>-78014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854909.52</v>
      </c>
      <c r="E373" s="86">
        <f>data!CD71</f>
        <v>1239320</v>
      </c>
      <c r="F373" s="219"/>
      <c r="G373" s="219"/>
      <c r="H373" s="219"/>
      <c r="I373" s="14">
        <f>data!CE71</f>
        <v>39268158.810000002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135065097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135065097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803</v>
      </c>
      <c r="E380" s="214"/>
      <c r="F380" s="211"/>
      <c r="G380" s="211"/>
      <c r="H380" s="211"/>
      <c r="I380" s="14">
        <f>data!CE76</f>
        <v>80695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42524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26247.3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191970.68999999994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107.3308547008547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Kindred Hospital Seattle Year End Report</dc:title>
  <dc:subject>2018 Kindred Hospital Seattle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2019-05-30T17:20:34Z</dcterms:modified>
</cp:coreProperties>
</file>