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Seattle-King Pgs 54-55" sheetId="1" r:id="rId1"/>
  </sheets>
  <definedNames>
    <definedName name="_xlnm.Print_Area" localSheetId="0">'Seattle-King Pgs 54-55'!$A$1:$O$88</definedName>
    <definedName name="_xlnm.Print_Titles" localSheetId="0">'Seattle-King Pgs 54-55'!$1:$4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<sst xmlns="http://schemas.openxmlformats.org/spreadsheetml/2006/main" count="95" uniqueCount="87">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</sst>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('Seattle-King Pgs 54-55'!$B$61,'Seattle-King Pgs 54-55'!$B$69,'Seattle-King Pgs 54-55'!$B$74:$B$76)</c:f>
              <c:strCache/>
            </c:strRef>
          </c:cat>
          <c:val>
            <c:numRef>
              <c:f>('Seattle-King Pgs 54-55'!$C$68,'Seattle-King Pgs 54-55'!$C$72,'Seattle-King Pgs 54-55'!$C$74:$C$76)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6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1981900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1424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5174455</v>
      </c>
      <c r="D5" s="10">
        <f>SUM(E5:O5)</f>
        <v>10397604</v>
      </c>
      <c r="E5" s="13">
        <v>0</v>
      </c>
      <c r="F5" s="7">
        <v>201726</v>
      </c>
      <c r="G5" s="7">
        <v>0</v>
      </c>
      <c r="H5" s="7">
        <v>520739</v>
      </c>
      <c r="I5" s="19">
        <v>0</v>
      </c>
      <c r="J5" s="34">
        <v>0</v>
      </c>
      <c r="K5" s="13"/>
      <c r="L5" s="35">
        <v>256837</v>
      </c>
      <c r="M5" s="7">
        <f>43367+1079927</f>
        <v>1123294</v>
      </c>
      <c r="N5" s="80">
        <f>19212+84499+964+1670+7843714+2791+630</f>
        <v>7953480</v>
      </c>
      <c r="O5" s="13">
        <f>119228+37557+27+184277+439</f>
        <v>341528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31537033</v>
      </c>
      <c r="D7" s="10">
        <f t="shared" si="0"/>
        <v>30693071</v>
      </c>
      <c r="E7" s="11"/>
      <c r="F7" s="5"/>
      <c r="G7" s="5"/>
      <c r="H7" s="5">
        <v>26649</v>
      </c>
      <c r="I7" s="6">
        <v>2204829</v>
      </c>
      <c r="J7" s="12">
        <v>974932</v>
      </c>
      <c r="K7" s="11">
        <f>67067+789548</f>
        <v>856615</v>
      </c>
      <c r="L7" s="14">
        <f>-7067+176193+195339+1036692+565499</f>
        <v>1966656</v>
      </c>
      <c r="M7" s="5">
        <f>2645300+3558870+2498</f>
        <v>6206668</v>
      </c>
      <c r="N7" s="10">
        <v>18308004</v>
      </c>
      <c r="O7" s="11">
        <f>145634+542+2542</f>
        <v>148718</v>
      </c>
    </row>
    <row r="8" spans="1:15" ht="15">
      <c r="A8" s="36">
        <v>562.24</v>
      </c>
      <c r="B8" s="37" t="s">
        <v>16</v>
      </c>
      <c r="C8" s="11">
        <v>8693744</v>
      </c>
      <c r="D8" s="10">
        <f t="shared" si="0"/>
        <v>9625759</v>
      </c>
      <c r="E8" s="11"/>
      <c r="F8" s="5"/>
      <c r="G8" s="5"/>
      <c r="H8" s="5"/>
      <c r="I8" s="6"/>
      <c r="J8" s="12"/>
      <c r="K8" s="11">
        <v>15897</v>
      </c>
      <c r="L8" s="14">
        <f>291858+27371</f>
        <v>319229</v>
      </c>
      <c r="M8" s="5">
        <f>672416+958798</f>
        <v>1631214</v>
      </c>
      <c r="N8" s="10">
        <v>7435610</v>
      </c>
      <c r="O8" s="11">
        <f>6422+1762+215625</f>
        <v>223809</v>
      </c>
    </row>
    <row r="9" spans="1:15" ht="15">
      <c r="A9" s="36">
        <v>562.25</v>
      </c>
      <c r="B9" s="59" t="s">
        <v>60</v>
      </c>
      <c r="C9" s="11">
        <v>844184</v>
      </c>
      <c r="D9" s="10">
        <f t="shared" si="0"/>
        <v>336202</v>
      </c>
      <c r="E9" s="11">
        <v>12060</v>
      </c>
      <c r="F9" s="5"/>
      <c r="G9" s="5"/>
      <c r="H9" s="5"/>
      <c r="I9" s="6"/>
      <c r="J9" s="12">
        <v>6175</v>
      </c>
      <c r="K9" s="11">
        <v>213669</v>
      </c>
      <c r="L9" s="14"/>
      <c r="M9" s="5"/>
      <c r="N9" s="10">
        <v>103948</v>
      </c>
      <c r="O9" s="11">
        <v>350</v>
      </c>
    </row>
    <row r="10" spans="1:15" ht="15">
      <c r="A10" s="36">
        <v>562.26</v>
      </c>
      <c r="B10" s="59" t="s">
        <v>51</v>
      </c>
      <c r="C10" s="11">
        <v>6430286</v>
      </c>
      <c r="D10" s="10">
        <f t="shared" si="0"/>
        <v>5037596</v>
      </c>
      <c r="E10" s="11">
        <v>907534</v>
      </c>
      <c r="F10" s="5"/>
      <c r="G10" s="5"/>
      <c r="H10" s="5"/>
      <c r="I10" s="6">
        <v>1652688</v>
      </c>
      <c r="J10" s="12"/>
      <c r="K10" s="11">
        <v>52243</v>
      </c>
      <c r="L10" s="14"/>
      <c r="M10" s="5">
        <v>1582123</v>
      </c>
      <c r="N10" s="10">
        <f>807700+20+12133</f>
        <v>819853</v>
      </c>
      <c r="O10" s="11">
        <f>23179-24</f>
        <v>23155</v>
      </c>
    </row>
    <row r="11" spans="1:15" ht="15">
      <c r="A11" s="36">
        <v>562.27</v>
      </c>
      <c r="B11" s="59" t="s">
        <v>52</v>
      </c>
      <c r="C11" s="11">
        <v>1933243</v>
      </c>
      <c r="D11" s="10">
        <f t="shared" si="0"/>
        <v>824599</v>
      </c>
      <c r="E11" s="11"/>
      <c r="F11" s="5"/>
      <c r="G11" s="5"/>
      <c r="H11" s="5"/>
      <c r="I11" s="6"/>
      <c r="J11" s="12"/>
      <c r="K11" s="11">
        <v>361378</v>
      </c>
      <c r="L11" s="14"/>
      <c r="M11" s="5">
        <v>36138</v>
      </c>
      <c r="N11" s="10">
        <v>427083</v>
      </c>
      <c r="O11" s="11"/>
    </row>
    <row r="12" spans="1:15" ht="15">
      <c r="A12" s="36">
        <v>562.28</v>
      </c>
      <c r="B12" s="59" t="s">
        <v>61</v>
      </c>
      <c r="C12" s="11">
        <v>11012852</v>
      </c>
      <c r="D12" s="10">
        <f t="shared" si="0"/>
        <v>11192669</v>
      </c>
      <c r="E12" s="11"/>
      <c r="F12" s="5"/>
      <c r="G12" s="5"/>
      <c r="H12" s="5"/>
      <c r="I12" s="6">
        <v>1036430</v>
      </c>
      <c r="J12" s="12"/>
      <c r="K12" s="11">
        <f>7636153+639554+4954</f>
        <v>8280661</v>
      </c>
      <c r="L12" s="14"/>
      <c r="M12" s="5">
        <f>4992+1907077</f>
        <v>1912069</v>
      </c>
      <c r="N12" s="10">
        <v>-36491</v>
      </c>
      <c r="O12" s="11"/>
    </row>
    <row r="13" spans="1:15" ht="15">
      <c r="A13" s="36">
        <v>562.29</v>
      </c>
      <c r="B13" s="59" t="s">
        <v>53</v>
      </c>
      <c r="C13" s="11">
        <v>29997907</v>
      </c>
      <c r="D13" s="10">
        <f t="shared" si="0"/>
        <v>20436494</v>
      </c>
      <c r="E13" s="11">
        <v>45000</v>
      </c>
      <c r="F13" s="5"/>
      <c r="G13" s="5"/>
      <c r="H13" s="5">
        <v>53410</v>
      </c>
      <c r="I13" s="6">
        <v>253206</v>
      </c>
      <c r="J13" s="12">
        <f>38085+889681+39812</f>
        <v>967578</v>
      </c>
      <c r="K13" s="11">
        <v>69781</v>
      </c>
      <c r="L13" s="14">
        <f>66260+2768788+102645+48064+602232+86484+572946</f>
        <v>4247419</v>
      </c>
      <c r="M13" s="5">
        <f>1777149+1652229</f>
        <v>3429378</v>
      </c>
      <c r="N13" s="10">
        <v>8357146</v>
      </c>
      <c r="O13" s="11">
        <f>1428857+7764+1576705+250</f>
        <v>3013576</v>
      </c>
    </row>
    <row r="14" spans="1:15" ht="15">
      <c r="A14" s="36">
        <v>562.32</v>
      </c>
      <c r="B14" s="37" t="s">
        <v>17</v>
      </c>
      <c r="C14" s="11">
        <v>1240104</v>
      </c>
      <c r="D14" s="10">
        <f t="shared" si="0"/>
        <v>1049554</v>
      </c>
      <c r="E14" s="11"/>
      <c r="F14" s="5"/>
      <c r="G14" s="5"/>
      <c r="H14" s="5"/>
      <c r="I14" s="6"/>
      <c r="J14" s="12"/>
      <c r="K14" s="11">
        <f>564664+76036</f>
        <v>640700</v>
      </c>
      <c r="L14" s="14">
        <v>13362</v>
      </c>
      <c r="M14" s="5">
        <v>5248</v>
      </c>
      <c r="N14" s="10">
        <v>390244</v>
      </c>
      <c r="O14" s="11"/>
    </row>
    <row r="15" spans="1:15" ht="15">
      <c r="A15" s="36">
        <v>562.33</v>
      </c>
      <c r="B15" s="59" t="s">
        <v>62</v>
      </c>
      <c r="C15" s="11">
        <v>5884994</v>
      </c>
      <c r="D15" s="10">
        <f t="shared" si="0"/>
        <v>5514592</v>
      </c>
      <c r="E15" s="11">
        <v>545211</v>
      </c>
      <c r="F15" s="5">
        <v>1077683</v>
      </c>
      <c r="G15" s="5"/>
      <c r="H15" s="5"/>
      <c r="I15" s="6">
        <v>7376</v>
      </c>
      <c r="J15" s="12"/>
      <c r="K15" s="11">
        <f>1497019+1083470</f>
        <v>2580489</v>
      </c>
      <c r="L15" s="14">
        <v>19724</v>
      </c>
      <c r="M15" s="5">
        <v>864012</v>
      </c>
      <c r="N15" s="10">
        <v>413197</v>
      </c>
      <c r="O15" s="11">
        <f>6885+15</f>
        <v>6900</v>
      </c>
    </row>
    <row r="16" spans="1:15" ht="15">
      <c r="A16" s="36">
        <v>562.34</v>
      </c>
      <c r="B16" s="37" t="s">
        <v>18</v>
      </c>
      <c r="C16" s="11">
        <v>4567585</v>
      </c>
      <c r="D16" s="10">
        <f t="shared" si="0"/>
        <v>4711088</v>
      </c>
      <c r="E16" s="11"/>
      <c r="F16" s="5">
        <v>741854</v>
      </c>
      <c r="G16" s="5"/>
      <c r="H16" s="5"/>
      <c r="I16" s="6"/>
      <c r="J16" s="12"/>
      <c r="K16" s="11">
        <f>401324+10460</f>
        <v>411784</v>
      </c>
      <c r="L16" s="14">
        <v>140637</v>
      </c>
      <c r="M16" s="5">
        <f>728+2774214</f>
        <v>2774942</v>
      </c>
      <c r="N16" s="10">
        <v>615029</v>
      </c>
      <c r="O16" s="11">
        <f>12460+1317+13065</f>
        <v>26842</v>
      </c>
    </row>
    <row r="17" spans="1:15" ht="15">
      <c r="A17" s="36">
        <v>562.35</v>
      </c>
      <c r="B17" s="37" t="s">
        <v>19</v>
      </c>
      <c r="C17" s="11">
        <v>14451370</v>
      </c>
      <c r="D17" s="10">
        <f t="shared" si="0"/>
        <v>13867422</v>
      </c>
      <c r="E17" s="11">
        <v>2915687</v>
      </c>
      <c r="F17" s="5">
        <v>22326</v>
      </c>
      <c r="G17" s="5"/>
      <c r="H17" s="5"/>
      <c r="I17" s="6"/>
      <c r="J17" s="12"/>
      <c r="K17" s="11">
        <f>37500+1883488</f>
        <v>1920988</v>
      </c>
      <c r="L17" s="14">
        <f>30328+71676+6437141+56275</f>
        <v>6595420</v>
      </c>
      <c r="M17" s="5">
        <f>1333365+968363</f>
        <v>2301728</v>
      </c>
      <c r="N17" s="10">
        <f>92+107515</f>
        <v>107607</v>
      </c>
      <c r="O17" s="11">
        <f>3416+250</f>
        <v>3666</v>
      </c>
    </row>
    <row r="18" spans="1:15" ht="15">
      <c r="A18" s="36">
        <v>562.39</v>
      </c>
      <c r="B18" s="37" t="s">
        <v>20</v>
      </c>
      <c r="C18" s="11">
        <v>308515</v>
      </c>
      <c r="D18" s="10">
        <f t="shared" si="0"/>
        <v>301935</v>
      </c>
      <c r="E18" s="11"/>
      <c r="F18" s="5"/>
      <c r="G18" s="5"/>
      <c r="H18" s="5"/>
      <c r="I18" s="6"/>
      <c r="J18" s="12"/>
      <c r="K18" s="11">
        <v>192758</v>
      </c>
      <c r="L18" s="14">
        <f>7430+20201</f>
        <v>27631</v>
      </c>
      <c r="M18" s="5"/>
      <c r="N18" s="10"/>
      <c r="O18" s="11">
        <v>81546</v>
      </c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>
        <v>1029641</v>
      </c>
      <c r="D20" s="10">
        <f t="shared" si="0"/>
        <v>1254686</v>
      </c>
      <c r="E20" s="11"/>
      <c r="F20" s="5">
        <v>72500</v>
      </c>
      <c r="G20" s="5"/>
      <c r="H20" s="5">
        <v>105968</v>
      </c>
      <c r="I20" s="6"/>
      <c r="J20" s="12"/>
      <c r="K20" s="11">
        <f>28575+75236+8898</f>
        <v>112709</v>
      </c>
      <c r="L20" s="14">
        <f>394019+350690</f>
        <v>744709</v>
      </c>
      <c r="M20" s="5">
        <v>218150</v>
      </c>
      <c r="N20" s="10"/>
      <c r="O20" s="11">
        <v>650</v>
      </c>
    </row>
    <row r="21" spans="1:15" ht="15">
      <c r="A21" s="36">
        <v>562.43</v>
      </c>
      <c r="B21" s="59" t="s">
        <v>63</v>
      </c>
      <c r="C21" s="11">
        <v>3374039</v>
      </c>
      <c r="D21" s="10">
        <f t="shared" si="0"/>
        <v>3395935</v>
      </c>
      <c r="E21" s="11">
        <f>957988+837431</f>
        <v>1795419</v>
      </c>
      <c r="F21" s="5"/>
      <c r="G21" s="5"/>
      <c r="H21" s="5"/>
      <c r="I21" s="6"/>
      <c r="J21" s="12"/>
      <c r="K21" s="11">
        <f>1474543+16802</f>
        <v>1491345</v>
      </c>
      <c r="L21" s="14">
        <f>7901+13135+78711+9424</f>
        <v>109171</v>
      </c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413465</v>
      </c>
      <c r="D22" s="10">
        <f t="shared" si="0"/>
        <v>269412</v>
      </c>
      <c r="E22" s="11">
        <v>14783</v>
      </c>
      <c r="F22" s="5"/>
      <c r="G22" s="5"/>
      <c r="H22" s="5"/>
      <c r="I22" s="6"/>
      <c r="J22" s="12"/>
      <c r="K22" s="11">
        <v>39353</v>
      </c>
      <c r="L22" s="14">
        <v>214236</v>
      </c>
      <c r="M22" s="5"/>
      <c r="N22" s="10">
        <v>1040</v>
      </c>
      <c r="O22" s="11"/>
    </row>
    <row r="23" spans="1:15" ht="15">
      <c r="A23" s="36">
        <v>562.45</v>
      </c>
      <c r="B23" s="59" t="s">
        <v>65</v>
      </c>
      <c r="C23" s="11">
        <v>582030</v>
      </c>
      <c r="D23" s="10">
        <f t="shared" si="0"/>
        <v>358365</v>
      </c>
      <c r="E23" s="11"/>
      <c r="F23" s="5"/>
      <c r="G23" s="5"/>
      <c r="H23" s="5">
        <v>69619</v>
      </c>
      <c r="I23" s="6">
        <v>124770</v>
      </c>
      <c r="J23" s="12">
        <v>37677</v>
      </c>
      <c r="K23" s="11"/>
      <c r="L23" s="14">
        <v>28099</v>
      </c>
      <c r="M23" s="5">
        <f>34000+36659</f>
        <v>70659</v>
      </c>
      <c r="N23" s="10">
        <v>26705</v>
      </c>
      <c r="O23" s="11">
        <v>836</v>
      </c>
    </row>
    <row r="24" spans="1:15" ht="15">
      <c r="A24" s="36">
        <v>562.49</v>
      </c>
      <c r="B24" s="59" t="s">
        <v>54</v>
      </c>
      <c r="C24" s="11">
        <v>2672479</v>
      </c>
      <c r="D24" s="10">
        <f t="shared" si="0"/>
        <v>1182724</v>
      </c>
      <c r="E24" s="11"/>
      <c r="F24" s="5"/>
      <c r="G24" s="5">
        <v>489996</v>
      </c>
      <c r="H24" s="5"/>
      <c r="I24" s="6"/>
      <c r="J24" s="12"/>
      <c r="K24" s="11"/>
      <c r="L24" s="14">
        <f>107100-304+556329+29453</f>
        <v>692578</v>
      </c>
      <c r="M24" s="5"/>
      <c r="N24" s="10"/>
      <c r="O24" s="11">
        <v>150</v>
      </c>
    </row>
    <row r="25" spans="1:15" ht="15">
      <c r="A25" s="36">
        <v>562.52</v>
      </c>
      <c r="B25" s="37" t="s">
        <v>23</v>
      </c>
      <c r="C25" s="11">
        <v>105088</v>
      </c>
      <c r="D25" s="10">
        <f t="shared" si="0"/>
        <v>89129</v>
      </c>
      <c r="E25" s="11"/>
      <c r="F25" s="5"/>
      <c r="G25" s="5"/>
      <c r="H25" s="5"/>
      <c r="I25" s="6"/>
      <c r="J25" s="12">
        <v>10600</v>
      </c>
      <c r="K25" s="11">
        <v>49446</v>
      </c>
      <c r="L25" s="14"/>
      <c r="M25" s="5"/>
      <c r="N25" s="10">
        <f>29071+12</f>
        <v>29083</v>
      </c>
      <c r="O25" s="11"/>
    </row>
    <row r="26" spans="1:15" ht="15">
      <c r="A26" s="36">
        <v>562.53</v>
      </c>
      <c r="B26" s="59" t="s">
        <v>66</v>
      </c>
      <c r="C26" s="11">
        <v>4812574</v>
      </c>
      <c r="D26" s="10">
        <f t="shared" si="0"/>
        <v>5084806</v>
      </c>
      <c r="E26" s="11"/>
      <c r="F26" s="5"/>
      <c r="G26" s="5"/>
      <c r="H26" s="5"/>
      <c r="I26" s="6"/>
      <c r="J26" s="12">
        <v>232187</v>
      </c>
      <c r="K26" s="11"/>
      <c r="L26" s="14"/>
      <c r="M26" s="5">
        <v>40200</v>
      </c>
      <c r="N26" s="10">
        <f>475363+881991+3416849</f>
        <v>4774203</v>
      </c>
      <c r="O26" s="11">
        <v>38216</v>
      </c>
    </row>
    <row r="27" spans="1:15" ht="15">
      <c r="A27" s="36">
        <v>562.54</v>
      </c>
      <c r="B27" s="59" t="s">
        <v>67</v>
      </c>
      <c r="C27" s="11">
        <v>312307</v>
      </c>
      <c r="D27" s="10">
        <f t="shared" si="0"/>
        <v>255407</v>
      </c>
      <c r="E27" s="11"/>
      <c r="F27" s="5">
        <v>185353</v>
      </c>
      <c r="G27" s="5"/>
      <c r="H27" s="5"/>
      <c r="I27" s="6"/>
      <c r="J27" s="12"/>
      <c r="K27" s="11"/>
      <c r="L27" s="14"/>
      <c r="M27" s="5">
        <v>70054</v>
      </c>
      <c r="N27" s="10"/>
      <c r="O27" s="11"/>
    </row>
    <row r="28" spans="1:15" ht="15">
      <c r="A28" s="36">
        <v>562.55</v>
      </c>
      <c r="B28" s="37" t="s">
        <v>24</v>
      </c>
      <c r="C28" s="11">
        <v>561132</v>
      </c>
      <c r="D28" s="10">
        <f t="shared" si="0"/>
        <v>826877</v>
      </c>
      <c r="E28" s="11"/>
      <c r="F28" s="5">
        <v>59888</v>
      </c>
      <c r="G28" s="5"/>
      <c r="H28" s="5"/>
      <c r="I28" s="6"/>
      <c r="J28" s="12"/>
      <c r="K28" s="11"/>
      <c r="L28" s="14"/>
      <c r="M28" s="5">
        <f>431615+211797</f>
        <v>643412</v>
      </c>
      <c r="N28" s="10">
        <v>123567</v>
      </c>
      <c r="O28" s="11">
        <v>10</v>
      </c>
    </row>
    <row r="29" spans="1:15" ht="15">
      <c r="A29" s="36">
        <v>562.56</v>
      </c>
      <c r="B29" s="37" t="s">
        <v>25</v>
      </c>
      <c r="C29" s="11">
        <v>9183156</v>
      </c>
      <c r="D29" s="10">
        <f t="shared" si="0"/>
        <v>10451927</v>
      </c>
      <c r="E29" s="11"/>
      <c r="F29" s="5"/>
      <c r="G29" s="5"/>
      <c r="H29" s="5"/>
      <c r="I29" s="6"/>
      <c r="J29" s="12"/>
      <c r="K29" s="11"/>
      <c r="L29" s="14"/>
      <c r="M29" s="5">
        <v>10023</v>
      </c>
      <c r="N29" s="10">
        <f>9886107-372+556129</f>
        <v>10441864</v>
      </c>
      <c r="O29" s="11">
        <v>40</v>
      </c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1034520</v>
      </c>
      <c r="D31" s="10">
        <f t="shared" si="0"/>
        <v>1086488</v>
      </c>
      <c r="E31" s="11">
        <v>4338</v>
      </c>
      <c r="F31" s="5"/>
      <c r="G31" s="5"/>
      <c r="H31" s="5"/>
      <c r="I31" s="6"/>
      <c r="J31" s="12"/>
      <c r="K31" s="11">
        <v>28000</v>
      </c>
      <c r="L31" s="14"/>
      <c r="M31" s="5"/>
      <c r="N31" s="10">
        <f>1036810-140+17469</f>
        <v>1054139</v>
      </c>
      <c r="O31" s="11">
        <v>11</v>
      </c>
    </row>
    <row r="32" spans="1:15" ht="15">
      <c r="A32" s="36">
        <v>562.59</v>
      </c>
      <c r="B32" s="59" t="s">
        <v>56</v>
      </c>
      <c r="C32" s="11">
        <v>2412962</v>
      </c>
      <c r="D32" s="10">
        <f t="shared" si="0"/>
        <v>2154240</v>
      </c>
      <c r="E32" s="11"/>
      <c r="F32" s="6"/>
      <c r="G32" s="5"/>
      <c r="H32" s="6">
        <v>41800</v>
      </c>
      <c r="I32" s="6"/>
      <c r="J32" s="12"/>
      <c r="K32" s="11"/>
      <c r="L32" s="14"/>
      <c r="M32" s="6"/>
      <c r="N32" s="81">
        <f>80500+2029628</f>
        <v>2110128</v>
      </c>
      <c r="O32" s="11">
        <v>2312</v>
      </c>
    </row>
    <row r="33" spans="1:15" ht="15">
      <c r="A33" s="36">
        <v>562.6</v>
      </c>
      <c r="B33" s="37" t="s">
        <v>26</v>
      </c>
      <c r="C33" s="11">
        <v>1987902</v>
      </c>
      <c r="D33" s="10">
        <f t="shared" si="0"/>
        <v>2656914</v>
      </c>
      <c r="E33" s="11">
        <v>76364</v>
      </c>
      <c r="F33" s="5">
        <v>32531</v>
      </c>
      <c r="G33" s="5"/>
      <c r="H33" s="5"/>
      <c r="I33" s="6"/>
      <c r="J33" s="12">
        <v>525399</v>
      </c>
      <c r="K33" s="11">
        <v>510947</v>
      </c>
      <c r="L33" s="14"/>
      <c r="M33" s="5"/>
      <c r="N33" s="10">
        <f>92500+826970+79+422+45964+543738+2000</f>
        <v>1511673</v>
      </c>
      <c r="O33" s="11"/>
    </row>
    <row r="34" spans="1:15" ht="15">
      <c r="A34" s="36">
        <v>562.71</v>
      </c>
      <c r="B34" s="37" t="s">
        <v>27</v>
      </c>
      <c r="C34" s="11">
        <v>1049692</v>
      </c>
      <c r="D34" s="10">
        <f t="shared" si="0"/>
        <v>1063733</v>
      </c>
      <c r="E34" s="11"/>
      <c r="F34" s="5"/>
      <c r="G34" s="5"/>
      <c r="H34" s="5"/>
      <c r="I34" s="6"/>
      <c r="J34" s="12"/>
      <c r="K34" s="11"/>
      <c r="L34" s="14"/>
      <c r="M34" s="5">
        <v>31321</v>
      </c>
      <c r="N34" s="10">
        <v>1031462</v>
      </c>
      <c r="O34" s="11">
        <f>925+25</f>
        <v>950</v>
      </c>
    </row>
    <row r="35" spans="1:15" ht="15">
      <c r="A35" s="36">
        <v>562.72</v>
      </c>
      <c r="B35" s="37" t="s">
        <v>28</v>
      </c>
      <c r="C35" s="11">
        <v>2776392</v>
      </c>
      <c r="D35" s="10">
        <f t="shared" si="0"/>
        <v>2743016</v>
      </c>
      <c r="E35" s="11"/>
      <c r="F35" s="5">
        <v>289474</v>
      </c>
      <c r="G35" s="5"/>
      <c r="H35" s="5"/>
      <c r="I35" s="6"/>
      <c r="J35" s="12"/>
      <c r="K35" s="11"/>
      <c r="L35" s="14"/>
      <c r="M35" s="5"/>
      <c r="N35" s="10">
        <f>166+2452489</f>
        <v>2452655</v>
      </c>
      <c r="O35" s="11">
        <f>872+15</f>
        <v>887</v>
      </c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>
        <v>20117563</v>
      </c>
      <c r="D37" s="10">
        <f t="shared" si="0"/>
        <v>20147838</v>
      </c>
      <c r="E37" s="11"/>
      <c r="F37" s="5">
        <v>59888</v>
      </c>
      <c r="G37" s="5"/>
      <c r="H37" s="5"/>
      <c r="I37" s="6"/>
      <c r="J37" s="12">
        <v>25785</v>
      </c>
      <c r="K37" s="11">
        <v>66500</v>
      </c>
      <c r="L37" s="14">
        <f>172800+1059245</f>
        <v>1232045</v>
      </c>
      <c r="M37" s="5">
        <f>13760717+1016850</f>
        <v>14777567</v>
      </c>
      <c r="N37" s="10">
        <v>3304620</v>
      </c>
      <c r="O37" s="11">
        <v>681433</v>
      </c>
    </row>
    <row r="38" spans="1:15" ht="15">
      <c r="A38" s="36">
        <v>562.78</v>
      </c>
      <c r="B38" s="37" t="s">
        <v>30</v>
      </c>
      <c r="C38" s="11">
        <v>1388711</v>
      </c>
      <c r="D38" s="10">
        <f t="shared" si="0"/>
        <v>1703825</v>
      </c>
      <c r="E38" s="11"/>
      <c r="F38" s="5">
        <v>113416</v>
      </c>
      <c r="G38" s="5"/>
      <c r="H38" s="5"/>
      <c r="I38" s="6"/>
      <c r="J38" s="12">
        <v>634147</v>
      </c>
      <c r="K38" s="11"/>
      <c r="L38" s="14"/>
      <c r="M38" s="5">
        <v>503578</v>
      </c>
      <c r="N38" s="10"/>
      <c r="O38" s="11">
        <f>111+452573</f>
        <v>452684</v>
      </c>
    </row>
    <row r="39" spans="1:15" ht="15">
      <c r="A39" s="36">
        <v>562.79</v>
      </c>
      <c r="B39" s="37" t="s">
        <v>31</v>
      </c>
      <c r="C39" s="11">
        <v>2570594</v>
      </c>
      <c r="D39" s="10">
        <f t="shared" si="0"/>
        <v>2892596</v>
      </c>
      <c r="E39" s="11"/>
      <c r="F39" s="5">
        <v>733554</v>
      </c>
      <c r="G39" s="5">
        <v>480276</v>
      </c>
      <c r="H39" s="5"/>
      <c r="I39" s="6"/>
      <c r="J39" s="12"/>
      <c r="K39" s="11"/>
      <c r="L39" s="14">
        <v>324314</v>
      </c>
      <c r="M39" s="5">
        <v>1232020</v>
      </c>
      <c r="N39" s="10">
        <f>120000+2032</f>
        <v>122032</v>
      </c>
      <c r="O39" s="11">
        <v>400</v>
      </c>
    </row>
    <row r="40" spans="1:15" ht="15">
      <c r="A40" s="36">
        <v>562.8</v>
      </c>
      <c r="B40" s="37" t="s">
        <v>32</v>
      </c>
      <c r="C40" s="11">
        <v>3163911</v>
      </c>
      <c r="D40" s="10">
        <f t="shared" si="0"/>
        <v>2838084</v>
      </c>
      <c r="E40" s="11"/>
      <c r="F40" s="5">
        <v>370274</v>
      </c>
      <c r="G40" s="5"/>
      <c r="H40" s="5">
        <v>259798</v>
      </c>
      <c r="I40" s="6"/>
      <c r="J40" s="12">
        <v>55327</v>
      </c>
      <c r="K40" s="11">
        <v>81549</v>
      </c>
      <c r="L40" s="14">
        <f>13367+49613</f>
        <v>62980</v>
      </c>
      <c r="M40" s="5">
        <f>59979+1517706</f>
        <v>1577685</v>
      </c>
      <c r="N40" s="10">
        <f>215+179010</f>
        <v>179225</v>
      </c>
      <c r="O40" s="11">
        <f>246646+4600</f>
        <v>251246</v>
      </c>
    </row>
    <row r="41" spans="1:15" ht="15">
      <c r="A41" s="36">
        <v>562.88</v>
      </c>
      <c r="B41" s="59" t="s">
        <v>58</v>
      </c>
      <c r="C41" s="11">
        <v>3611076</v>
      </c>
      <c r="D41" s="10">
        <f t="shared" si="0"/>
        <v>3560350</v>
      </c>
      <c r="E41" s="11"/>
      <c r="F41" s="5">
        <v>19967</v>
      </c>
      <c r="G41" s="5"/>
      <c r="H41" s="5"/>
      <c r="I41" s="6"/>
      <c r="J41" s="12"/>
      <c r="K41" s="11">
        <f>1214358+2039006</f>
        <v>3253364</v>
      </c>
      <c r="L41" s="14">
        <f>179286+4000-84182+111616</f>
        <v>210720</v>
      </c>
      <c r="M41" s="5"/>
      <c r="N41" s="10">
        <f>292+67142</f>
        <v>67434</v>
      </c>
      <c r="O41" s="11">
        <v>8865</v>
      </c>
    </row>
    <row r="42" spans="1:15" ht="15">
      <c r="A42" s="36">
        <v>562.9</v>
      </c>
      <c r="B42" s="37" t="s">
        <v>33</v>
      </c>
      <c r="C42" s="11">
        <v>4649712</v>
      </c>
      <c r="D42" s="10">
        <f t="shared" si="0"/>
        <v>3202609</v>
      </c>
      <c r="E42" s="11"/>
      <c r="F42" s="5">
        <v>785440</v>
      </c>
      <c r="G42" s="5"/>
      <c r="H42" s="5"/>
      <c r="I42" s="6"/>
      <c r="J42" s="12"/>
      <c r="K42" s="11">
        <v>3705</v>
      </c>
      <c r="L42" s="14">
        <f>550+534177+14793</f>
        <v>549520</v>
      </c>
      <c r="M42" s="5">
        <v>1797554</v>
      </c>
      <c r="N42" s="10">
        <v>3049</v>
      </c>
      <c r="O42" s="11">
        <f>37413+25928</f>
        <v>63341</v>
      </c>
    </row>
    <row r="43" spans="1:15" ht="15">
      <c r="A43" s="38">
        <v>562.99</v>
      </c>
      <c r="B43" s="30" t="s">
        <v>34</v>
      </c>
      <c r="C43" s="15">
        <v>1970604</v>
      </c>
      <c r="D43" s="18">
        <f t="shared" si="0"/>
        <v>1906488</v>
      </c>
      <c r="E43" s="15">
        <f>3002+445592+12393</f>
        <v>460987</v>
      </c>
      <c r="F43" s="8"/>
      <c r="G43" s="8"/>
      <c r="H43" s="8"/>
      <c r="I43" s="17"/>
      <c r="J43" s="16"/>
      <c r="K43" s="15">
        <f>2787+963367+2565</f>
        <v>968719</v>
      </c>
      <c r="L43" s="18">
        <f>6991+10336+459455</f>
        <v>476782</v>
      </c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191855822</v>
      </c>
      <c r="D44" s="64">
        <f>SUM(E44:O44)</f>
        <v>183114034</v>
      </c>
      <c r="E44" s="65">
        <f aca="true" t="shared" si="1" ref="E44:O44">SUM(E5:E43)</f>
        <v>6777383</v>
      </c>
      <c r="F44" s="63">
        <f t="shared" si="1"/>
        <v>4765874</v>
      </c>
      <c r="G44" s="63">
        <f t="shared" si="1"/>
        <v>970272</v>
      </c>
      <c r="H44" s="63">
        <f t="shared" si="1"/>
        <v>1077983</v>
      </c>
      <c r="I44" s="63">
        <f t="shared" si="1"/>
        <v>5279299</v>
      </c>
      <c r="J44" s="66">
        <f t="shared" si="1"/>
        <v>3469807</v>
      </c>
      <c r="K44" s="65">
        <f t="shared" si="1"/>
        <v>22202600</v>
      </c>
      <c r="L44" s="67">
        <f t="shared" si="1"/>
        <v>18232069</v>
      </c>
      <c r="M44" s="63">
        <f t="shared" si="1"/>
        <v>42839037</v>
      </c>
      <c r="N44" s="64">
        <f t="shared" si="1"/>
        <v>72127589</v>
      </c>
      <c r="O44" s="65">
        <f t="shared" si="1"/>
        <v>5372121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>
        <f>1237189+3406724+1645589</f>
        <v>6289502</v>
      </c>
      <c r="D51" s="10">
        <f t="shared" si="2"/>
        <v>4536594</v>
      </c>
      <c r="E51" s="11"/>
      <c r="F51" s="5"/>
      <c r="G51" s="5"/>
      <c r="H51" s="5"/>
      <c r="I51" s="6"/>
      <c r="J51" s="12">
        <v>288809</v>
      </c>
      <c r="K51" s="11"/>
      <c r="L51" s="14">
        <v>-22379</v>
      </c>
      <c r="M51" s="5">
        <v>3511572</v>
      </c>
      <c r="N51" s="10">
        <f>37359+153862+567371</f>
        <v>758592</v>
      </c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>
        <f>68215+342999+1268490</f>
        <v>1679704</v>
      </c>
      <c r="D55" s="18">
        <f t="shared" si="2"/>
        <v>1498185</v>
      </c>
      <c r="E55" s="15"/>
      <c r="F55" s="8"/>
      <c r="G55" s="8"/>
      <c r="H55" s="8"/>
      <c r="I55" s="17"/>
      <c r="J55" s="16">
        <v>2917</v>
      </c>
      <c r="K55" s="15"/>
      <c r="L55" s="18">
        <f>26861-589+33673</f>
        <v>59945</v>
      </c>
      <c r="M55" s="8">
        <f>342999+116201</f>
        <v>459200</v>
      </c>
      <c r="N55" s="82">
        <f>8728+54290-115</f>
        <v>62903</v>
      </c>
      <c r="O55" s="15">
        <v>913220</v>
      </c>
    </row>
    <row r="56" spans="1:15" ht="15.75" thickBot="1">
      <c r="A56" s="69"/>
      <c r="B56" s="70" t="s">
        <v>47</v>
      </c>
      <c r="C56" s="73">
        <f>SUM(C44:C55)</f>
        <v>199825028</v>
      </c>
      <c r="D56" s="72">
        <f>SUM(E56:O56)</f>
        <v>189148813</v>
      </c>
      <c r="E56" s="73">
        <f aca="true" t="shared" si="3" ref="E56:O56">SUM(E44:E55)</f>
        <v>6777383</v>
      </c>
      <c r="F56" s="71">
        <f t="shared" si="3"/>
        <v>4765874</v>
      </c>
      <c r="G56" s="71">
        <f t="shared" si="3"/>
        <v>970272</v>
      </c>
      <c r="H56" s="71">
        <f t="shared" si="3"/>
        <v>1077983</v>
      </c>
      <c r="I56" s="74">
        <f t="shared" si="3"/>
        <v>5279299</v>
      </c>
      <c r="J56" s="75">
        <f t="shared" si="3"/>
        <v>3761533</v>
      </c>
      <c r="K56" s="73">
        <f t="shared" si="3"/>
        <v>22202600</v>
      </c>
      <c r="L56" s="76">
        <f t="shared" si="3"/>
        <v>18269635</v>
      </c>
      <c r="M56" s="71">
        <f t="shared" si="3"/>
        <v>46809809</v>
      </c>
      <c r="N56" s="83">
        <f t="shared" si="3"/>
        <v>72949084</v>
      </c>
      <c r="O56" s="73">
        <f t="shared" si="3"/>
        <v>6285341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6777383</v>
      </c>
      <c r="D62" s="45">
        <f>E56/D56</f>
        <v>0.0358309570782239</v>
      </c>
    </row>
    <row r="63" spans="2:4" ht="15">
      <c r="B63" s="24" t="s">
        <v>2</v>
      </c>
      <c r="C63" s="46">
        <f>F56</f>
        <v>4765874</v>
      </c>
      <c r="D63" s="45">
        <f>F56/D56</f>
        <v>0.02519642563128324</v>
      </c>
    </row>
    <row r="64" spans="2:4" ht="15">
      <c r="B64" s="24" t="s">
        <v>3</v>
      </c>
      <c r="C64" s="46">
        <f>G56</f>
        <v>970272</v>
      </c>
      <c r="D64" s="45">
        <f>G56/D56</f>
        <v>0.005129675331348762</v>
      </c>
    </row>
    <row r="65" spans="2:4" ht="15">
      <c r="B65" s="24" t="s">
        <v>4</v>
      </c>
      <c r="C65" s="46">
        <f>H56</f>
        <v>1077983</v>
      </c>
      <c r="D65" s="45">
        <f>H56/D56</f>
        <v>0.0056991264333231635</v>
      </c>
    </row>
    <row r="66" spans="2:4" ht="15">
      <c r="B66" s="24" t="s">
        <v>5</v>
      </c>
      <c r="C66" s="46">
        <f>I56</f>
        <v>5279299</v>
      </c>
      <c r="D66" s="45">
        <f>I56/D56</f>
        <v>0.02791082278692386</v>
      </c>
    </row>
    <row r="67" spans="2:4" ht="15">
      <c r="B67" s="53" t="s">
        <v>46</v>
      </c>
      <c r="C67" s="47">
        <f>J56</f>
        <v>3761533</v>
      </c>
      <c r="D67" s="48">
        <f>J56/D56</f>
        <v>0.019886632859810755</v>
      </c>
    </row>
    <row r="68" spans="2:4" ht="15.75" thickBot="1">
      <c r="B68" s="91" t="s">
        <v>79</v>
      </c>
      <c r="C68" s="49">
        <f>SUM(C62:C67)</f>
        <v>22632344</v>
      </c>
      <c r="D68" s="50">
        <f>SUM(D62:D67)</f>
        <v>0.11965364012091369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22202600</v>
      </c>
      <c r="D70" s="23">
        <f>K56/D56</f>
        <v>0.11738165123986266</v>
      </c>
    </row>
    <row r="71" spans="2:4" ht="15">
      <c r="B71" s="54" t="s">
        <v>8</v>
      </c>
      <c r="C71" s="25">
        <f>L56</f>
        <v>18269635</v>
      </c>
      <c r="D71" s="26">
        <f>L56/D56</f>
        <v>0.09658868438154036</v>
      </c>
    </row>
    <row r="72" spans="2:4" ht="15.75" thickBot="1">
      <c r="B72" s="91" t="s">
        <v>80</v>
      </c>
      <c r="C72" s="49">
        <f>SUM(C70:C71)</f>
        <v>40472235</v>
      </c>
      <c r="D72" s="50">
        <f>SUM(D70:D71)</f>
        <v>0.21397033562140302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46809809</v>
      </c>
      <c r="D74" s="23">
        <f>M56/D56</f>
        <v>0.2474760917479297</v>
      </c>
    </row>
    <row r="75" spans="2:4" ht="15">
      <c r="B75" s="22" t="s">
        <v>9</v>
      </c>
      <c r="C75" s="21">
        <f>N56</f>
        <v>72949084</v>
      </c>
      <c r="D75" s="23">
        <f>N56/D56</f>
        <v>0.3856703240321154</v>
      </c>
    </row>
    <row r="76" spans="2:4" ht="15">
      <c r="B76" s="97" t="s">
        <v>50</v>
      </c>
      <c r="C76" s="25">
        <f>O56</f>
        <v>6285341</v>
      </c>
      <c r="D76" s="26">
        <f>O56/D56</f>
        <v>0.03322960847763819</v>
      </c>
    </row>
    <row r="77" spans="2:4" ht="15.75" thickBot="1">
      <c r="B77" s="91" t="s">
        <v>81</v>
      </c>
      <c r="C77" s="49">
        <f>SUM(C74:C76)</f>
        <v>126044234</v>
      </c>
      <c r="D77" s="50">
        <f>SUM(D74:D76)</f>
        <v>0.6663760242576833</v>
      </c>
    </row>
    <row r="78" spans="2:4" ht="15.75" thickBot="1">
      <c r="B78" s="94" t="s">
        <v>47</v>
      </c>
      <c r="C78" s="95">
        <f>C68+C72+C77</f>
        <v>189148813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&amp;"-,Bold"&amp;20SEATTLE-KING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2014-07-09T21:49:05Z</dcterms:modified>
  <cp:category>Washington State</cp:category>
  <cp:version/>
  <cp:contentType/>
  <cp:contentStatus/>
</cp:coreProperties>
</file>